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60" windowHeight="7110" activeTab="3"/>
  </bookViews>
  <sheets>
    <sheet name="nAlkanes" sheetId="1" r:id="rId1"/>
    <sheet name="Alkenes" sheetId="2" r:id="rId2"/>
    <sheet name="OHs" sheetId="3" r:id="rId3"/>
    <sheet name="Figure1" sheetId="4" r:id="rId4"/>
    <sheet name="Figure2" sheetId="5" r:id="rId5"/>
    <sheet name="Figure3" sheetId="6" r:id="rId6"/>
  </sheets>
  <definedNames/>
  <calcPr fullCalcOnLoad="1"/>
</workbook>
</file>

<file path=xl/sharedStrings.xml><?xml version="1.0" encoding="utf-8"?>
<sst xmlns="http://schemas.openxmlformats.org/spreadsheetml/2006/main" count="84" uniqueCount="69">
  <si>
    <t>MeOh</t>
  </si>
  <si>
    <t>EtOH</t>
  </si>
  <si>
    <t>nC3OH</t>
  </si>
  <si>
    <t>nC5OH</t>
  </si>
  <si>
    <t>IPA</t>
  </si>
  <si>
    <t>nC8OH</t>
  </si>
  <si>
    <t>2BuOH</t>
  </si>
  <si>
    <t>2Me2Propanol</t>
  </si>
  <si>
    <t>15pentandiol</t>
  </si>
  <si>
    <t>dippr</t>
  </si>
  <si>
    <t>trappeua</t>
  </si>
  <si>
    <t>Tr</t>
  </si>
  <si>
    <t>Overall den%AAD</t>
  </si>
  <si>
    <t>C1-C5,C8,C12</t>
  </si>
  <si>
    <t>BrAlkanes[2]:</t>
  </si>
  <si>
    <t>nAlkanes[1]:</t>
  </si>
  <si>
    <t>2MeC3, 22DiMeC3, 23DiMeC4, 22DiMeC6, 25DiMeC6, 34DiMeC6</t>
  </si>
  <si>
    <t>Aro[4]:</t>
  </si>
  <si>
    <t>Alkenes[4]</t>
  </si>
  <si>
    <t xml:space="preserve">Ety, Propy, 1Buty, iButy, c2Buty, t2Buty, 1C8y, 15C6diy, </t>
  </si>
  <si>
    <t>Benz, Tol, EtBenz, PrBenz, iPrBenz, oXyl, mXyl, pXyl, naphth,</t>
  </si>
  <si>
    <t>Ethers[6]:</t>
  </si>
  <si>
    <t>DiMe, EtMe, DiEt, MtBu, DiPr, DiiPr, 12DiMeoxyEt</t>
  </si>
  <si>
    <t>Aldehydes[6]</t>
  </si>
  <si>
    <t>Alcohols[5&amp;6]:</t>
  </si>
  <si>
    <t>MeOh, EtOh, 1PrOh, 2PrOh, nC5Oh, nC8Oh, 2C4Oh, tBuOh, 15C5DiOh,&amp; 12EtDiOh, 13PrDiOh, 2MeOxyEtOh</t>
  </si>
  <si>
    <t>C2al, C5al, C8al</t>
  </si>
  <si>
    <t>Ketones[6]</t>
  </si>
  <si>
    <t>acetone, 2C5one, 2C8one</t>
  </si>
  <si>
    <t>propane</t>
  </si>
  <si>
    <t>nOctane</t>
  </si>
  <si>
    <t>trappe</t>
  </si>
  <si>
    <t>den</t>
  </si>
  <si>
    <t>%devP</t>
  </si>
  <si>
    <t>%devRho</t>
  </si>
  <si>
    <t>P(Mpa)</t>
  </si>
  <si>
    <t>T</t>
  </si>
  <si>
    <t>P(kPa)</t>
  </si>
  <si>
    <t>rhoL</t>
  </si>
  <si>
    <t>Y=A/[B^(1+(1-T/C)^D]</t>
  </si>
  <si>
    <t>Value</t>
  </si>
  <si>
    <t>rhoLiq</t>
  </si>
  <si>
    <t>pSatkpa</t>
  </si>
  <si>
    <t>ethene</t>
  </si>
  <si>
    <t>propene</t>
  </si>
  <si>
    <t>1butene</t>
  </si>
  <si>
    <t>1-octene</t>
  </si>
  <si>
    <t>2MeC3ene</t>
  </si>
  <si>
    <t>2C4eneCs</t>
  </si>
  <si>
    <t>2c4eneTr</t>
  </si>
  <si>
    <t>15C6diene</t>
  </si>
  <si>
    <t>nButane</t>
  </si>
  <si>
    <t>nPentane</t>
  </si>
  <si>
    <t>nC12</t>
  </si>
  <si>
    <t>pDippr</t>
  </si>
  <si>
    <t>%AD p</t>
  </si>
  <si>
    <t>%ADrho</t>
  </si>
  <si>
    <t>T/K</t>
  </si>
  <si>
    <t>Mpa</t>
  </si>
  <si>
    <t>1/T</t>
  </si>
  <si>
    <t>TraPPE</t>
  </si>
  <si>
    <t>Dipp</t>
  </si>
  <si>
    <t>ln</t>
  </si>
  <si>
    <t>nDecanol</t>
  </si>
  <si>
    <t>kpa</t>
  </si>
  <si>
    <t>exp</t>
  </si>
  <si>
    <t>GC-ESD</t>
  </si>
  <si>
    <t>GC-SAFT</t>
  </si>
  <si>
    <t>GcSaft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</si>
</sst>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8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sz val="11.5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0"/>
      <color indexed="12"/>
      <name val="Arial"/>
      <family val="0"/>
    </font>
    <font>
      <sz val="10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  <xf numFmtId="0" fontId="0" fillId="3" borderId="0" xfId="0" applyFill="1" applyAlignment="1">
      <alignment/>
    </xf>
    <xf numFmtId="11" fontId="0" fillId="3" borderId="0" xfId="0" applyNumberFormat="1" applyFill="1" applyAlignment="1">
      <alignment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3" borderId="5" xfId="0" applyFill="1" applyBorder="1" applyAlignment="1">
      <alignment/>
    </xf>
    <xf numFmtId="164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164" fontId="0" fillId="0" borderId="0" xfId="0" applyNumberFormat="1" applyBorder="1" applyAlignment="1">
      <alignment/>
    </xf>
    <xf numFmtId="11" fontId="0" fillId="3" borderId="0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2" borderId="6" xfId="0" applyFill="1" applyBorder="1" applyAlignment="1">
      <alignment/>
    </xf>
    <xf numFmtId="0" fontId="0" fillId="3" borderId="6" xfId="0" applyFill="1" applyBorder="1" applyAlignment="1">
      <alignment/>
    </xf>
    <xf numFmtId="11" fontId="0" fillId="3" borderId="6" xfId="0" applyNumberFormat="1" applyFill="1" applyBorder="1" applyAlignment="1">
      <alignment/>
    </xf>
    <xf numFmtId="164" fontId="0" fillId="0" borderId="6" xfId="0" applyNumberFormat="1" applyBorder="1" applyAlignment="1">
      <alignment/>
    </xf>
    <xf numFmtId="11" fontId="0" fillId="0" borderId="0" xfId="0" applyNumberFormat="1" applyBorder="1" applyAlignment="1">
      <alignment/>
    </xf>
    <xf numFmtId="11" fontId="0" fillId="0" borderId="6" xfId="0" applyNumberFormat="1" applyBorder="1" applyAlignment="1">
      <alignment/>
    </xf>
    <xf numFmtId="11" fontId="0" fillId="0" borderId="5" xfId="0" applyNumberFormat="1" applyBorder="1" applyAlignment="1">
      <alignment/>
    </xf>
    <xf numFmtId="11" fontId="0" fillId="3" borderId="5" xfId="0" applyNumberFormat="1" applyFill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6" xfId="0" applyNumberFormat="1" applyBorder="1" applyAlignment="1">
      <alignment/>
    </xf>
    <xf numFmtId="16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164" fontId="0" fillId="4" borderId="5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/>
    </xf>
    <xf numFmtId="0" fontId="8" fillId="4" borderId="0" xfId="0" applyFont="1" applyFill="1" applyBorder="1" applyAlignment="1">
      <alignment/>
    </xf>
    <xf numFmtId="164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/>
    </xf>
    <xf numFmtId="0" fontId="0" fillId="4" borderId="6" xfId="0" applyFill="1" applyBorder="1" applyAlignment="1">
      <alignment/>
    </xf>
    <xf numFmtId="164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/>
    </xf>
    <xf numFmtId="0" fontId="0" fillId="4" borderId="0" xfId="0" applyFill="1" applyAlignment="1">
      <alignment/>
    </xf>
    <xf numFmtId="11" fontId="0" fillId="4" borderId="5" xfId="0" applyNumberFormat="1" applyFill="1" applyBorder="1" applyAlignment="1">
      <alignment/>
    </xf>
    <xf numFmtId="11" fontId="0" fillId="4" borderId="0" xfId="0" applyNumberFormat="1" applyFill="1" applyAlignment="1">
      <alignment/>
    </xf>
    <xf numFmtId="164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/>
    </xf>
    <xf numFmtId="0" fontId="8" fillId="4" borderId="0" xfId="0" applyFont="1" applyFill="1" applyAlignment="1">
      <alignment/>
    </xf>
    <xf numFmtId="11" fontId="0" fillId="4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1795"/>
          <c:w val="0.83675"/>
          <c:h val="0.76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OHs!$B$13:$B$18</c:f>
              <c:numCache>
                <c:ptCount val="6"/>
                <c:pt idx="0">
                  <c:v>3.6363636363636362</c:v>
                </c:pt>
                <c:pt idx="1">
                  <c:v>3.3333333333333335</c:v>
                </c:pt>
                <c:pt idx="2">
                  <c:v>3.076923076923077</c:v>
                </c:pt>
                <c:pt idx="3">
                  <c:v>2.6666666666666665</c:v>
                </c:pt>
                <c:pt idx="4">
                  <c:v>2.3529411764705883</c:v>
                </c:pt>
                <c:pt idx="5">
                  <c:v>2.1052631578947367</c:v>
                </c:pt>
              </c:numCache>
            </c:numRef>
          </c:xVal>
          <c:yVal>
            <c:numRef>
              <c:f>OHs!$F$13:$F$18</c:f>
              <c:numCache>
                <c:ptCount val="6"/>
                <c:pt idx="0">
                  <c:v>-6.557098407368968</c:v>
                </c:pt>
                <c:pt idx="1">
                  <c:v>-4.809737351729366</c:v>
                </c:pt>
                <c:pt idx="2">
                  <c:v>-3.4966075664668135</c:v>
                </c:pt>
                <c:pt idx="3">
                  <c:v>-1.452006904485272</c:v>
                </c:pt>
                <c:pt idx="4">
                  <c:v>0.10885440491208208</c:v>
                </c:pt>
                <c:pt idx="5">
                  <c:v>1.169381359556317</c:v>
                </c:pt>
              </c:numCache>
            </c:numRef>
          </c:yVal>
          <c:smooth val="0"/>
        </c:ser>
        <c:ser>
          <c:idx val="1"/>
          <c:order val="1"/>
          <c:tx>
            <c:v>Ethanol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OHs!$B$12:$B$18</c:f>
              <c:numCache>
                <c:ptCount val="7"/>
                <c:pt idx="0">
                  <c:v>4.25531914893617</c:v>
                </c:pt>
                <c:pt idx="1">
                  <c:v>3.6363636363636362</c:v>
                </c:pt>
                <c:pt idx="2">
                  <c:v>3.3333333333333335</c:v>
                </c:pt>
                <c:pt idx="3">
                  <c:v>3.076923076923077</c:v>
                </c:pt>
                <c:pt idx="4">
                  <c:v>2.6666666666666665</c:v>
                </c:pt>
                <c:pt idx="5">
                  <c:v>2.3529411764705883</c:v>
                </c:pt>
                <c:pt idx="6">
                  <c:v>2.1052631578947367</c:v>
                </c:pt>
              </c:numCache>
            </c:numRef>
          </c:xVal>
          <c:yVal>
            <c:numRef>
              <c:f>OHs!$G$12:$G$18</c:f>
              <c:numCache>
                <c:ptCount val="7"/>
                <c:pt idx="0">
                  <c:v>-9.654380002064123</c:v>
                </c:pt>
                <c:pt idx="1">
                  <c:v>-6.3089187778934335</c:v>
                </c:pt>
                <c:pt idx="2">
                  <c:v>-4.731867839034049</c:v>
                </c:pt>
                <c:pt idx="3">
                  <c:v>-3.4326880487535263</c:v>
                </c:pt>
                <c:pt idx="4">
                  <c:v>-1.4312917270506265</c:v>
                </c:pt>
                <c:pt idx="5">
                  <c:v>0.024887715507778883</c:v>
                </c:pt>
                <c:pt idx="6">
                  <c:v>1.1242800354166875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OHs!$B$12:$B$18</c:f>
              <c:numCache>
                <c:ptCount val="7"/>
                <c:pt idx="0">
                  <c:v>4.25531914893617</c:v>
                </c:pt>
                <c:pt idx="1">
                  <c:v>3.6363636363636362</c:v>
                </c:pt>
                <c:pt idx="2">
                  <c:v>3.3333333333333335</c:v>
                </c:pt>
                <c:pt idx="3">
                  <c:v>3.076923076923077</c:v>
                </c:pt>
                <c:pt idx="4">
                  <c:v>2.6666666666666665</c:v>
                </c:pt>
                <c:pt idx="5">
                  <c:v>2.3529411764705883</c:v>
                </c:pt>
                <c:pt idx="6">
                  <c:v>2.1052631578947367</c:v>
                </c:pt>
              </c:numCache>
            </c:numRef>
          </c:xVal>
          <c:yVal>
            <c:numRef>
              <c:f>OHs!$I$12:$I$18</c:f>
              <c:numCache>
                <c:ptCount val="7"/>
                <c:pt idx="0">
                  <c:v>-8.710311423111467</c:v>
                </c:pt>
                <c:pt idx="1">
                  <c:v>-5.4538504013878795</c:v>
                </c:pt>
                <c:pt idx="2">
                  <c:v>-3.9410399544986388</c:v>
                </c:pt>
                <c:pt idx="3">
                  <c:v>-2.713716222728837</c:v>
                </c:pt>
                <c:pt idx="4">
                  <c:v>-0.8655999939873162</c:v>
                </c:pt>
                <c:pt idx="5">
                  <c:v>0.4485390291375281</c:v>
                </c:pt>
                <c:pt idx="6">
                  <c:v>1.4365303842931523</c:v>
                </c:pt>
              </c:numCache>
            </c:numRef>
          </c:yVal>
          <c:smooth val="0"/>
        </c:ser>
        <c:ser>
          <c:idx val="3"/>
          <c:order val="3"/>
          <c:tx>
            <c:v>n-Propanol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OHs!$B$21:$B$27</c:f>
              <c:numCache>
                <c:ptCount val="7"/>
                <c:pt idx="0">
                  <c:v>4.081632653061225</c:v>
                </c:pt>
                <c:pt idx="1">
                  <c:v>3.3333333333333335</c:v>
                </c:pt>
                <c:pt idx="2">
                  <c:v>2.857142857142857</c:v>
                </c:pt>
                <c:pt idx="3">
                  <c:v>2.5</c:v>
                </c:pt>
                <c:pt idx="4">
                  <c:v>2.2222222222222223</c:v>
                </c:pt>
                <c:pt idx="5">
                  <c:v>2</c:v>
                </c:pt>
                <c:pt idx="6">
                  <c:v>1.941747572815534</c:v>
                </c:pt>
              </c:numCache>
            </c:numRef>
          </c:xVal>
          <c:yVal>
            <c:numRef>
              <c:f>OHs!$G$21:$G$27</c:f>
              <c:numCache>
                <c:ptCount val="7"/>
                <c:pt idx="0">
                  <c:v>-10.240780125541244</c:v>
                </c:pt>
                <c:pt idx="1">
                  <c:v>-5.756487291088229</c:v>
                </c:pt>
                <c:pt idx="2">
                  <c:v>-3.1144482442589756</c:v>
                </c:pt>
                <c:pt idx="3">
                  <c:v>-1.2758627253542612</c:v>
                </c:pt>
                <c:pt idx="4">
                  <c:v>0.05306672093669223</c:v>
                </c:pt>
                <c:pt idx="5">
                  <c:v>1.0504719133401748</c:v>
                </c:pt>
                <c:pt idx="6">
                  <c:v>1.3037276374629283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OHs!$B$22:$B$27</c:f>
              <c:numCache>
                <c:ptCount val="6"/>
                <c:pt idx="0">
                  <c:v>3.3333333333333335</c:v>
                </c:pt>
                <c:pt idx="1">
                  <c:v>2.857142857142857</c:v>
                </c:pt>
                <c:pt idx="2">
                  <c:v>2.5</c:v>
                </c:pt>
                <c:pt idx="3">
                  <c:v>2.2222222222222223</c:v>
                </c:pt>
                <c:pt idx="4">
                  <c:v>2</c:v>
                </c:pt>
                <c:pt idx="5">
                  <c:v>1.941747572815534</c:v>
                </c:pt>
              </c:numCache>
            </c:numRef>
          </c:xVal>
          <c:yVal>
            <c:numRef>
              <c:f>OHs!$F$22:$F$27</c:f>
              <c:numCache>
                <c:ptCount val="6"/>
                <c:pt idx="0">
                  <c:v>-5.399243285137997</c:v>
                </c:pt>
                <c:pt idx="1">
                  <c:v>-3.144232281872435</c:v>
                </c:pt>
                <c:pt idx="2">
                  <c:v>-0.9830984924557695</c:v>
                </c:pt>
                <c:pt idx="3">
                  <c:v>0.19309662996191315</c:v>
                </c:pt>
                <c:pt idx="4">
                  <c:v>1.2212723014039972</c:v>
                </c:pt>
                <c:pt idx="5">
                  <c:v>1.3485665330589192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OHs!$B$21:$B$27</c:f>
              <c:numCache>
                <c:ptCount val="7"/>
                <c:pt idx="0">
                  <c:v>4.081632653061225</c:v>
                </c:pt>
                <c:pt idx="1">
                  <c:v>3.3333333333333335</c:v>
                </c:pt>
                <c:pt idx="2">
                  <c:v>2.857142857142857</c:v>
                </c:pt>
                <c:pt idx="3">
                  <c:v>2.5</c:v>
                </c:pt>
                <c:pt idx="4">
                  <c:v>2.2222222222222223</c:v>
                </c:pt>
                <c:pt idx="5">
                  <c:v>2</c:v>
                </c:pt>
                <c:pt idx="6">
                  <c:v>1.941747572815534</c:v>
                </c:pt>
              </c:numCache>
            </c:numRef>
          </c:xVal>
          <c:yVal>
            <c:numRef>
              <c:f>OHs!$I$21:$I$27</c:f>
              <c:numCache>
                <c:ptCount val="7"/>
                <c:pt idx="0">
                  <c:v>-9.414464749627605</c:v>
                </c:pt>
                <c:pt idx="1">
                  <c:v>-5.14091969533599</c:v>
                </c:pt>
                <c:pt idx="2">
                  <c:v>-2.6635514318101228</c:v>
                </c:pt>
                <c:pt idx="3">
                  <c:v>-0.9634180842816468</c:v>
                </c:pt>
                <c:pt idx="4">
                  <c:v>0.26442899452152985</c:v>
                </c:pt>
                <c:pt idx="5">
                  <c:v>1.2010483071497398</c:v>
                </c:pt>
                <c:pt idx="6">
                  <c:v>1.4434126972122927</c:v>
                </c:pt>
              </c:numCache>
            </c:numRef>
          </c:yVal>
          <c:smooth val="0"/>
        </c:ser>
        <c:ser>
          <c:idx val="6"/>
          <c:order val="6"/>
          <c:tx>
            <c:v>n-Pentanol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OHs!$B$32:$B$39</c:f>
              <c:numCache>
                <c:ptCount val="8"/>
                <c:pt idx="0">
                  <c:v>3.7735849056603774</c:v>
                </c:pt>
                <c:pt idx="1">
                  <c:v>3.3333333333333335</c:v>
                </c:pt>
                <c:pt idx="2">
                  <c:v>2.857142857142857</c:v>
                </c:pt>
                <c:pt idx="3">
                  <c:v>2.5</c:v>
                </c:pt>
                <c:pt idx="4">
                  <c:v>2.2222222222222223</c:v>
                </c:pt>
                <c:pt idx="5">
                  <c:v>2</c:v>
                </c:pt>
                <c:pt idx="6">
                  <c:v>1.8181818181818181</c:v>
                </c:pt>
                <c:pt idx="7">
                  <c:v>1.7699115044247788</c:v>
                </c:pt>
              </c:numCache>
            </c:numRef>
          </c:xVal>
          <c:yVal>
            <c:numRef>
              <c:f>OHs!$G$32:$G$39</c:f>
              <c:numCache>
                <c:ptCount val="8"/>
                <c:pt idx="0">
                  <c:v>-11.01257450949826</c:v>
                </c:pt>
                <c:pt idx="1">
                  <c:v>-7.872763677653722</c:v>
                </c:pt>
                <c:pt idx="2">
                  <c:v>-4.772654363127768</c:v>
                </c:pt>
                <c:pt idx="3">
                  <c:v>-2.6601461436951555</c:v>
                </c:pt>
                <c:pt idx="4">
                  <c:v>-1.165511995211223</c:v>
                </c:pt>
                <c:pt idx="5">
                  <c:v>-0.06355980024115788</c:v>
                </c:pt>
                <c:pt idx="6">
                  <c:v>0.7966960561885041</c:v>
                </c:pt>
                <c:pt idx="7">
                  <c:v>1.0249657484998111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OHs!$B$33:$B$39</c:f>
              <c:numCache>
                <c:ptCount val="7"/>
                <c:pt idx="0">
                  <c:v>3.3333333333333335</c:v>
                </c:pt>
                <c:pt idx="1">
                  <c:v>2.857142857142857</c:v>
                </c:pt>
                <c:pt idx="2">
                  <c:v>2.5</c:v>
                </c:pt>
                <c:pt idx="3">
                  <c:v>2.2222222222222223</c:v>
                </c:pt>
                <c:pt idx="4">
                  <c:v>2</c:v>
                </c:pt>
                <c:pt idx="5">
                  <c:v>1.8181818181818181</c:v>
                </c:pt>
                <c:pt idx="6">
                  <c:v>1.7699115044247788</c:v>
                </c:pt>
              </c:numCache>
            </c:numRef>
          </c:xVal>
          <c:yVal>
            <c:numRef>
              <c:f>OHs!$F$33:$F$39</c:f>
              <c:numCache>
                <c:ptCount val="7"/>
                <c:pt idx="0">
                  <c:v>-7.675626005738019</c:v>
                </c:pt>
                <c:pt idx="1">
                  <c:v>-4.571735409901854</c:v>
                </c:pt>
                <c:pt idx="2">
                  <c:v>-2.3925098005220327</c:v>
                </c:pt>
                <c:pt idx="3">
                  <c:v>-0.8983280314999825</c:v>
                </c:pt>
                <c:pt idx="4">
                  <c:v>0.21752781252857414</c:v>
                </c:pt>
                <c:pt idx="5">
                  <c:v>1.0788856584840762</c:v>
                </c:pt>
                <c:pt idx="6">
                  <c:v>1.2587450401729154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OHs!$B$32:$B$39</c:f>
              <c:numCache>
                <c:ptCount val="8"/>
                <c:pt idx="0">
                  <c:v>3.7735849056603774</c:v>
                </c:pt>
                <c:pt idx="1">
                  <c:v>3.3333333333333335</c:v>
                </c:pt>
                <c:pt idx="2">
                  <c:v>2.857142857142857</c:v>
                </c:pt>
                <c:pt idx="3">
                  <c:v>2.5</c:v>
                </c:pt>
                <c:pt idx="4">
                  <c:v>2.2222222222222223</c:v>
                </c:pt>
                <c:pt idx="5">
                  <c:v>2</c:v>
                </c:pt>
                <c:pt idx="6">
                  <c:v>1.8181818181818181</c:v>
                </c:pt>
                <c:pt idx="7">
                  <c:v>1.7699115044247788</c:v>
                </c:pt>
              </c:numCache>
            </c:numRef>
          </c:xVal>
          <c:yVal>
            <c:numRef>
              <c:f>OHs!$I$32:$I$39</c:f>
              <c:numCache>
                <c:ptCount val="8"/>
                <c:pt idx="0">
                  <c:v>-10.417458116446198</c:v>
                </c:pt>
                <c:pt idx="1">
                  <c:v>-7.443823021289243</c:v>
                </c:pt>
                <c:pt idx="2">
                  <c:v>-4.470682126115641</c:v>
                </c:pt>
                <c:pt idx="3">
                  <c:v>-2.4486900216909073</c:v>
                </c:pt>
                <c:pt idx="4">
                  <c:v>-1.009840319181398</c:v>
                </c:pt>
                <c:pt idx="5">
                  <c:v>0.06667592276639152</c:v>
                </c:pt>
                <c:pt idx="6">
                  <c:v>0.9162978388089008</c:v>
                </c:pt>
                <c:pt idx="7">
                  <c:v>1.1409148528439892</c:v>
                </c:pt>
              </c:numCache>
            </c:numRef>
          </c:yVal>
          <c:smooth val="1"/>
        </c:ser>
        <c:ser>
          <c:idx val="9"/>
          <c:order val="9"/>
          <c:tx>
            <c:v>n-octanol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OHs!$B$43:$B$49</c:f>
              <c:numCache>
                <c:ptCount val="7"/>
                <c:pt idx="0">
                  <c:v>3.3333333333333335</c:v>
                </c:pt>
                <c:pt idx="1">
                  <c:v>2.857142857142857</c:v>
                </c:pt>
                <c:pt idx="2">
                  <c:v>2.5</c:v>
                </c:pt>
                <c:pt idx="3">
                  <c:v>2.2222222222222223</c:v>
                </c:pt>
                <c:pt idx="4">
                  <c:v>2</c:v>
                </c:pt>
                <c:pt idx="5">
                  <c:v>1.8181818181818181</c:v>
                </c:pt>
                <c:pt idx="6">
                  <c:v>1.6666666666666667</c:v>
                </c:pt>
              </c:numCache>
            </c:numRef>
          </c:xVal>
          <c:yVal>
            <c:numRef>
              <c:f>OHs!$G$43:$G$49</c:f>
              <c:numCache>
                <c:ptCount val="7"/>
                <c:pt idx="0">
                  <c:v>-11.227520984262506</c:v>
                </c:pt>
                <c:pt idx="1">
                  <c:v>-7.302710806705714</c:v>
                </c:pt>
                <c:pt idx="2">
                  <c:v>-4.647242962409999</c:v>
                </c:pt>
                <c:pt idx="3">
                  <c:v>-2.7932323430719106</c:v>
                </c:pt>
                <c:pt idx="4">
                  <c:v>-1.4603284898462594</c:v>
                </c:pt>
                <c:pt idx="5">
                  <c:v>-0.4661550445575534</c:v>
                </c:pt>
                <c:pt idx="6">
                  <c:v>0.3183082659935418</c:v>
                </c:pt>
              </c:numCache>
            </c:numRef>
          </c:yVal>
          <c:smooth val="0"/>
        </c:ser>
        <c:ser>
          <c:idx val="10"/>
          <c:order val="1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OHs!$B$43:$B$49</c:f>
              <c:numCache>
                <c:ptCount val="7"/>
                <c:pt idx="0">
                  <c:v>3.3333333333333335</c:v>
                </c:pt>
                <c:pt idx="1">
                  <c:v>2.857142857142857</c:v>
                </c:pt>
                <c:pt idx="2">
                  <c:v>2.5</c:v>
                </c:pt>
                <c:pt idx="3">
                  <c:v>2.2222222222222223</c:v>
                </c:pt>
                <c:pt idx="4">
                  <c:v>2</c:v>
                </c:pt>
                <c:pt idx="5">
                  <c:v>1.8181818181818181</c:v>
                </c:pt>
                <c:pt idx="6">
                  <c:v>1.6666666666666667</c:v>
                </c:pt>
              </c:numCache>
            </c:numRef>
          </c:xVal>
          <c:yVal>
            <c:numRef>
              <c:f>OHs!$F$43:$F$49</c:f>
              <c:numCache>
                <c:ptCount val="7"/>
                <c:pt idx="0">
                  <c:v>-10.914088963881525</c:v>
                </c:pt>
                <c:pt idx="1">
                  <c:v>-7.1184763102977895</c:v>
                </c:pt>
                <c:pt idx="2">
                  <c:v>-4.414549826379441</c:v>
                </c:pt>
                <c:pt idx="3">
                  <c:v>-2.48530672980934</c:v>
                </c:pt>
                <c:pt idx="4">
                  <c:v>-1.1679623668029029</c:v>
                </c:pt>
                <c:pt idx="5">
                  <c:v>-0.20579491297959682</c:v>
                </c:pt>
                <c:pt idx="6">
                  <c:v>0.4989554511955033</c:v>
                </c:pt>
              </c:numCache>
            </c:numRef>
          </c:yVal>
          <c:smooth val="0"/>
        </c:ser>
        <c:ser>
          <c:idx val="11"/>
          <c:order val="1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OHs!$B$43:$B$49</c:f>
              <c:numCache>
                <c:ptCount val="7"/>
                <c:pt idx="0">
                  <c:v>3.3333333333333335</c:v>
                </c:pt>
                <c:pt idx="1">
                  <c:v>2.857142857142857</c:v>
                </c:pt>
                <c:pt idx="2">
                  <c:v>2.5</c:v>
                </c:pt>
                <c:pt idx="3">
                  <c:v>2.2222222222222223</c:v>
                </c:pt>
                <c:pt idx="4">
                  <c:v>2</c:v>
                </c:pt>
                <c:pt idx="5">
                  <c:v>1.8181818181818181</c:v>
                </c:pt>
                <c:pt idx="6">
                  <c:v>1.6666666666666667</c:v>
                </c:pt>
              </c:numCache>
            </c:numRef>
          </c:xVal>
          <c:yVal>
            <c:numRef>
              <c:f>OHs!$I$43:$I$49</c:f>
              <c:numCache>
                <c:ptCount val="7"/>
                <c:pt idx="0">
                  <c:v>-10.776262599214506</c:v>
                </c:pt>
                <c:pt idx="1">
                  <c:v>-7.046543076500504</c:v>
                </c:pt>
                <c:pt idx="2">
                  <c:v>-4.516900039165066</c:v>
                </c:pt>
                <c:pt idx="3">
                  <c:v>-2.731793473933203</c:v>
                </c:pt>
                <c:pt idx="4">
                  <c:v>-1.4161108885697236</c:v>
                </c:pt>
                <c:pt idx="5">
                  <c:v>-0.3994208415456734</c:v>
                </c:pt>
                <c:pt idx="6">
                  <c:v>0.4256340081875589</c:v>
                </c:pt>
              </c:numCache>
            </c:numRef>
          </c:yVal>
          <c:smooth val="0"/>
        </c:ser>
        <c:ser>
          <c:idx val="12"/>
          <c:order val="12"/>
          <c:tx>
            <c:v>n-decanol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OHs!$B$52:$B$58</c:f>
              <c:numCache>
                <c:ptCount val="7"/>
                <c:pt idx="0">
                  <c:v>3.3333333333333335</c:v>
                </c:pt>
                <c:pt idx="1">
                  <c:v>2.857142857142857</c:v>
                </c:pt>
                <c:pt idx="2">
                  <c:v>2.5</c:v>
                </c:pt>
                <c:pt idx="3">
                  <c:v>2.2222222222222223</c:v>
                </c:pt>
                <c:pt idx="4">
                  <c:v>2</c:v>
                </c:pt>
                <c:pt idx="5">
                  <c:v>1.8181818181818181</c:v>
                </c:pt>
                <c:pt idx="6">
                  <c:v>1.6666666666666667</c:v>
                </c:pt>
              </c:numCache>
            </c:numRef>
          </c:xVal>
          <c:yVal>
            <c:numRef>
              <c:f>OHs!$G$52:$G$58</c:f>
              <c:numCache>
                <c:ptCount val="7"/>
                <c:pt idx="0">
                  <c:v>-13.477325503339387</c:v>
                </c:pt>
                <c:pt idx="1">
                  <c:v>-8.945824577556241</c:v>
                </c:pt>
                <c:pt idx="2">
                  <c:v>-5.944848172479403</c:v>
                </c:pt>
                <c:pt idx="3">
                  <c:v>-3.873908673319488</c:v>
                </c:pt>
                <c:pt idx="4">
                  <c:v>-2.386010181139173</c:v>
                </c:pt>
                <c:pt idx="5">
                  <c:v>-1.268810036739945</c:v>
                </c:pt>
                <c:pt idx="6">
                  <c:v>-0.38630091986494963</c:v>
                </c:pt>
              </c:numCache>
            </c:numRef>
          </c:yVal>
          <c:smooth val="0"/>
        </c:ser>
        <c:ser>
          <c:idx val="13"/>
          <c:order val="13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OHs!$B$52:$B$58</c:f>
              <c:numCache>
                <c:ptCount val="7"/>
                <c:pt idx="0">
                  <c:v>3.3333333333333335</c:v>
                </c:pt>
                <c:pt idx="1">
                  <c:v>2.857142857142857</c:v>
                </c:pt>
                <c:pt idx="2">
                  <c:v>2.5</c:v>
                </c:pt>
                <c:pt idx="3">
                  <c:v>2.2222222222222223</c:v>
                </c:pt>
                <c:pt idx="4">
                  <c:v>2</c:v>
                </c:pt>
                <c:pt idx="5">
                  <c:v>1.8181818181818181</c:v>
                </c:pt>
                <c:pt idx="6">
                  <c:v>1.6666666666666667</c:v>
                </c:pt>
              </c:numCache>
            </c:numRef>
          </c:xVal>
          <c:yVal>
            <c:numRef>
              <c:f>OHs!$I$52:$I$58</c:f>
              <c:numCache>
                <c:ptCount val="7"/>
                <c:pt idx="0">
                  <c:v>-12.954115534016262</c:v>
                </c:pt>
                <c:pt idx="1">
                  <c:v>-8.717408673836902</c:v>
                </c:pt>
                <c:pt idx="2">
                  <c:v>-5.841547043111399</c:v>
                </c:pt>
                <c:pt idx="3">
                  <c:v>-3.8136700192036956</c:v>
                </c:pt>
                <c:pt idx="4">
                  <c:v>-2.3260299893062135</c:v>
                </c:pt>
                <c:pt idx="5">
                  <c:v>-1.1865331735710622</c:v>
                </c:pt>
                <c:pt idx="6">
                  <c:v>-0.27320034732316933</c:v>
                </c:pt>
              </c:numCache>
            </c:numRef>
          </c:yVal>
          <c:smooth val="0"/>
        </c:ser>
        <c:axId val="49241188"/>
        <c:axId val="40517509"/>
      </c:scatterChart>
      <c:valAx>
        <c:axId val="49241188"/>
        <c:scaling>
          <c:orientation val="minMax"/>
          <c:max val="4.5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1000/T (K)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517509"/>
        <c:crossesAt val="-100"/>
        <c:crossBetween val="midCat"/>
        <c:dispUnits/>
      </c:valAx>
      <c:valAx>
        <c:axId val="40517509"/>
        <c:scaling>
          <c:orientation val="minMax"/>
          <c:max val="2"/>
          <c:min val="-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Ln(P/MPa)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241188"/>
        <c:crosses val="autoZero"/>
        <c:crossBetween val="midCat"/>
        <c:dispUnits/>
      </c:valAx>
      <c:spPr>
        <a:noFill/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"/>
          <c:y val="0.0535"/>
          <c:w val="1"/>
          <c:h val="0.1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.207"/>
          <c:w val="0.86475"/>
          <c:h val="0.715"/>
        </c:manualLayout>
      </c:layout>
      <c:scatterChart>
        <c:scatterStyle val="lineMarker"/>
        <c:varyColors val="0"/>
        <c:ser>
          <c:idx val="0"/>
          <c:order val="0"/>
          <c:tx>
            <c:v>Propene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Alkenes!$B$8:$B$12</c:f>
              <c:numCache>
                <c:ptCount val="5"/>
                <c:pt idx="0">
                  <c:v>6.0606060606060606</c:v>
                </c:pt>
                <c:pt idx="1">
                  <c:v>5.4945054945054945</c:v>
                </c:pt>
                <c:pt idx="2">
                  <c:v>4.694835680751174</c:v>
                </c:pt>
                <c:pt idx="3">
                  <c:v>4.081632653061225</c:v>
                </c:pt>
                <c:pt idx="4">
                  <c:v>3.6231884057971016</c:v>
                </c:pt>
              </c:numCache>
            </c:numRef>
          </c:xVal>
          <c:yVal>
            <c:numRef>
              <c:f>Alkenes!$I$8:$I$12</c:f>
              <c:numCache>
                <c:ptCount val="5"/>
                <c:pt idx="0">
                  <c:v>-6.231144067062291</c:v>
                </c:pt>
                <c:pt idx="1">
                  <c:v>-4.821127122987944</c:v>
                </c:pt>
                <c:pt idx="2">
                  <c:v>-2.8971945805057486</c:v>
                </c:pt>
                <c:pt idx="3">
                  <c:v>-1.4788299137647272</c:v>
                </c:pt>
                <c:pt idx="4">
                  <c:v>-0.4478176796139975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Alkenes!$B$9:$B$12</c:f>
              <c:numCache>
                <c:ptCount val="4"/>
                <c:pt idx="0">
                  <c:v>5.4945054945054945</c:v>
                </c:pt>
                <c:pt idx="1">
                  <c:v>4.694835680751174</c:v>
                </c:pt>
                <c:pt idx="2">
                  <c:v>4.081632653061225</c:v>
                </c:pt>
                <c:pt idx="3">
                  <c:v>3.6231884057971016</c:v>
                </c:pt>
              </c:numCache>
            </c:numRef>
          </c:xVal>
          <c:yVal>
            <c:numRef>
              <c:f>Alkenes!$H$9:$H$12</c:f>
              <c:numCache>
                <c:ptCount val="4"/>
                <c:pt idx="0">
                  <c:v>-4.135166556742356</c:v>
                </c:pt>
                <c:pt idx="1">
                  <c:v>-2.430418464503931</c:v>
                </c:pt>
                <c:pt idx="2">
                  <c:v>-1.171182981502945</c:v>
                </c:pt>
                <c:pt idx="3">
                  <c:v>-0.2744368457017603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Alkenes!$B$8:$B$12</c:f>
              <c:numCache>
                <c:ptCount val="5"/>
                <c:pt idx="0">
                  <c:v>6.0606060606060606</c:v>
                </c:pt>
                <c:pt idx="1">
                  <c:v>5.4945054945054945</c:v>
                </c:pt>
                <c:pt idx="2">
                  <c:v>4.694835680751174</c:v>
                </c:pt>
                <c:pt idx="3">
                  <c:v>4.081632653061225</c:v>
                </c:pt>
                <c:pt idx="4">
                  <c:v>3.6231884057971016</c:v>
                </c:pt>
              </c:numCache>
            </c:numRef>
          </c:xVal>
          <c:yVal>
            <c:numRef>
              <c:f>Alkenes!$K$8:$K$12</c:f>
              <c:numCache>
                <c:ptCount val="5"/>
                <c:pt idx="0">
                  <c:v>-6.828181016396486</c:v>
                </c:pt>
                <c:pt idx="1">
                  <c:v>-5.40516015801183</c:v>
                </c:pt>
                <c:pt idx="2">
                  <c:v>-3.4302597301572564</c:v>
                </c:pt>
                <c:pt idx="3">
                  <c:v>-1.948449911523332</c:v>
                </c:pt>
                <c:pt idx="4">
                  <c:v>-0.8586345822030172</c:v>
                </c:pt>
              </c:numCache>
            </c:numRef>
          </c:yVal>
          <c:smooth val="0"/>
        </c:ser>
        <c:ser>
          <c:idx val="3"/>
          <c:order val="3"/>
          <c:tx>
            <c:v>1-Butene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Alkenes!$B$15:$B$21</c:f>
              <c:numCache>
                <c:ptCount val="7"/>
                <c:pt idx="0">
                  <c:v>5.2631578947368425</c:v>
                </c:pt>
                <c:pt idx="1">
                  <c:v>4.081632653061225</c:v>
                </c:pt>
                <c:pt idx="2">
                  <c:v>3.690036900369004</c:v>
                </c:pt>
                <c:pt idx="3">
                  <c:v>3.3783783783783785</c:v>
                </c:pt>
                <c:pt idx="4">
                  <c:v>3.1055900621118013</c:v>
                </c:pt>
                <c:pt idx="5">
                  <c:v>2.881844380403458</c:v>
                </c:pt>
                <c:pt idx="6">
                  <c:v>2.680965147453083</c:v>
                </c:pt>
              </c:numCache>
            </c:numRef>
          </c:xVal>
          <c:yVal>
            <c:numRef>
              <c:f>Alkenes!$I$15:$I$21</c:f>
              <c:numCache>
                <c:ptCount val="7"/>
                <c:pt idx="0">
                  <c:v>-6.735063271164026</c:v>
                </c:pt>
                <c:pt idx="1">
                  <c:v>-3.228292523128571</c:v>
                </c:pt>
                <c:pt idx="2">
                  <c:v>-2.131442454791525</c:v>
                </c:pt>
                <c:pt idx="3">
                  <c:v>-1.2808322506229948</c:v>
                </c:pt>
                <c:pt idx="4">
                  <c:v>-0.5494327118922899</c:v>
                </c:pt>
                <c:pt idx="5">
                  <c:v>0.04532894295299871</c:v>
                </c:pt>
                <c:pt idx="6">
                  <c:v>0.5802388069096209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Alkenes!$B$16:$B$21</c:f>
              <c:numCache>
                <c:ptCount val="6"/>
                <c:pt idx="0">
                  <c:v>4.081632653061225</c:v>
                </c:pt>
                <c:pt idx="1">
                  <c:v>3.690036900369004</c:v>
                </c:pt>
                <c:pt idx="2">
                  <c:v>3.3783783783783785</c:v>
                </c:pt>
                <c:pt idx="3">
                  <c:v>3.1055900621118013</c:v>
                </c:pt>
                <c:pt idx="4">
                  <c:v>2.881844380403458</c:v>
                </c:pt>
                <c:pt idx="5">
                  <c:v>2.680965147453083</c:v>
                </c:pt>
              </c:numCache>
            </c:numRef>
          </c:xVal>
          <c:yVal>
            <c:numRef>
              <c:f>Alkenes!$H$16:$H$21</c:f>
              <c:numCache>
                <c:ptCount val="6"/>
                <c:pt idx="0">
                  <c:v>-2.7488721956224653</c:v>
                </c:pt>
                <c:pt idx="1">
                  <c:v>-1.6607312068216509</c:v>
                </c:pt>
                <c:pt idx="2">
                  <c:v>-0.916290731874155</c:v>
                </c:pt>
                <c:pt idx="3">
                  <c:v>-0.2613647641344075</c:v>
                </c:pt>
                <c:pt idx="4">
                  <c:v>0.27763173659827955</c:v>
                </c:pt>
                <c:pt idx="5">
                  <c:v>0.8329091229351039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Alkenes!$B$15:$B$21</c:f>
              <c:numCache>
                <c:ptCount val="7"/>
                <c:pt idx="0">
                  <c:v>5.2631578947368425</c:v>
                </c:pt>
                <c:pt idx="1">
                  <c:v>4.081632653061225</c:v>
                </c:pt>
                <c:pt idx="2">
                  <c:v>3.690036900369004</c:v>
                </c:pt>
                <c:pt idx="3">
                  <c:v>3.3783783783783785</c:v>
                </c:pt>
                <c:pt idx="4">
                  <c:v>3.1055900621118013</c:v>
                </c:pt>
                <c:pt idx="5">
                  <c:v>2.881844380403458</c:v>
                </c:pt>
                <c:pt idx="6">
                  <c:v>2.680965147453083</c:v>
                </c:pt>
              </c:numCache>
            </c:numRef>
          </c:xVal>
          <c:yVal>
            <c:numRef>
              <c:f>Alkenes!$K$15:$K$21</c:f>
              <c:numCache>
                <c:ptCount val="7"/>
                <c:pt idx="0">
                  <c:v>-7.094853104006902</c:v>
                </c:pt>
                <c:pt idx="1">
                  <c:v>-3.56154607958171</c:v>
                </c:pt>
                <c:pt idx="2">
                  <c:v>-2.430859470823833</c:v>
                </c:pt>
                <c:pt idx="3">
                  <c:v>-1.5467741475543524</c:v>
                </c:pt>
                <c:pt idx="4">
                  <c:v>-0.7836151691175616</c:v>
                </c:pt>
                <c:pt idx="5">
                  <c:v>-0.16381331980074967</c:v>
                </c:pt>
                <c:pt idx="6">
                  <c:v>0.38936021097337664</c:v>
                </c:pt>
              </c:numCache>
            </c:numRef>
          </c:yVal>
          <c:smooth val="0"/>
        </c:ser>
        <c:ser>
          <c:idx val="6"/>
          <c:order val="6"/>
          <c:tx>
            <c:v>1-Octene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Alkenes!$B$22:$B$26</c:f>
              <c:numCache>
                <c:ptCount val="5"/>
                <c:pt idx="0">
                  <c:v>3.8461538461538463</c:v>
                </c:pt>
                <c:pt idx="1">
                  <c:v>2.8901734104046244</c:v>
                </c:pt>
                <c:pt idx="2">
                  <c:v>2.544529262086514</c:v>
                </c:pt>
                <c:pt idx="3">
                  <c:v>2.2675736961451247</c:v>
                </c:pt>
                <c:pt idx="4">
                  <c:v>2.0242914979757085</c:v>
                </c:pt>
              </c:numCache>
            </c:numRef>
          </c:xVal>
          <c:yVal>
            <c:numRef>
              <c:f>Alkenes!$I$22:$I$26</c:f>
              <c:numCache>
                <c:ptCount val="5"/>
                <c:pt idx="0">
                  <c:v>-8.543383174506479</c:v>
                </c:pt>
                <c:pt idx="1">
                  <c:v>-3.8682766660880614</c:v>
                </c:pt>
                <c:pt idx="2">
                  <c:v>-2.327996346483826</c:v>
                </c:pt>
                <c:pt idx="3">
                  <c:v>-1.1445207187272133</c:v>
                </c:pt>
                <c:pt idx="4">
                  <c:v>-0.12484083427010664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Alkenes!$B$23:$B$26</c:f>
              <c:numCache>
                <c:ptCount val="4"/>
                <c:pt idx="0">
                  <c:v>2.8901734104046244</c:v>
                </c:pt>
                <c:pt idx="1">
                  <c:v>2.544529262086514</c:v>
                </c:pt>
                <c:pt idx="2">
                  <c:v>2.2675736961451247</c:v>
                </c:pt>
                <c:pt idx="3">
                  <c:v>2.0242914979757085</c:v>
                </c:pt>
              </c:numCache>
            </c:numRef>
          </c:xVal>
          <c:yVal>
            <c:numRef>
              <c:f>Alkenes!$H$23:$H$26</c:f>
              <c:numCache>
                <c:ptCount val="4"/>
                <c:pt idx="0">
                  <c:v>-3.4112477175156566</c:v>
                </c:pt>
                <c:pt idx="1">
                  <c:v>-2.0402208285265546</c:v>
                </c:pt>
                <c:pt idx="2">
                  <c:v>-0.941608539858445</c:v>
                </c:pt>
                <c:pt idx="3">
                  <c:v>0.11332868530700327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Alkenes!$B$22:$B$26</c:f>
              <c:numCache>
                <c:ptCount val="5"/>
                <c:pt idx="0">
                  <c:v>3.8461538461538463</c:v>
                </c:pt>
                <c:pt idx="1">
                  <c:v>2.8901734104046244</c:v>
                </c:pt>
                <c:pt idx="2">
                  <c:v>2.544529262086514</c:v>
                </c:pt>
                <c:pt idx="3">
                  <c:v>2.2675736961451247</c:v>
                </c:pt>
                <c:pt idx="4">
                  <c:v>2.0242914979757085</c:v>
                </c:pt>
              </c:numCache>
            </c:numRef>
          </c:xVal>
          <c:yVal>
            <c:numRef>
              <c:f>Alkenes!$K$22:$K$26</c:f>
              <c:numCache>
                <c:ptCount val="5"/>
                <c:pt idx="0">
                  <c:v>-8.617580538247848</c:v>
                </c:pt>
                <c:pt idx="1">
                  <c:v>-3.910539106950274</c:v>
                </c:pt>
                <c:pt idx="2">
                  <c:v>-2.3286690918635187</c:v>
                </c:pt>
                <c:pt idx="3">
                  <c:v>-1.1143798458205714</c:v>
                </c:pt>
                <c:pt idx="4">
                  <c:v>-0.08383497256237485</c:v>
                </c:pt>
              </c:numCache>
            </c:numRef>
          </c:yVal>
          <c:smooth val="0"/>
        </c:ser>
        <c:ser>
          <c:idx val="18"/>
          <c:order val="9"/>
          <c:tx>
            <c:v>1,5-Hexadiene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Alkenes!$B$45:$B$50</c:f>
              <c:numCache>
                <c:ptCount val="6"/>
                <c:pt idx="0">
                  <c:v>4.3478260869565215</c:v>
                </c:pt>
                <c:pt idx="1">
                  <c:v>3.4602076124567476</c:v>
                </c:pt>
                <c:pt idx="2">
                  <c:v>3.0864197530864197</c:v>
                </c:pt>
                <c:pt idx="3">
                  <c:v>2.857142857142857</c:v>
                </c:pt>
                <c:pt idx="4">
                  <c:v>2.5</c:v>
                </c:pt>
                <c:pt idx="5">
                  <c:v>2.2222222222222223</c:v>
                </c:pt>
              </c:numCache>
            </c:numRef>
          </c:xVal>
          <c:yVal>
            <c:numRef>
              <c:f>Alkenes!$I$45:$I$50</c:f>
              <c:numCache>
                <c:ptCount val="6"/>
                <c:pt idx="0">
                  <c:v>-7.260096768768029</c:v>
                </c:pt>
                <c:pt idx="1">
                  <c:v>-3.9060806959725167</c:v>
                </c:pt>
                <c:pt idx="2">
                  <c:v>-2.5652481020812674</c:v>
                </c:pt>
                <c:pt idx="3">
                  <c:v>-1.767876354924738</c:v>
                </c:pt>
                <c:pt idx="4">
                  <c:v>-0.5638600822231221</c:v>
                </c:pt>
                <c:pt idx="5">
                  <c:v>0.35167607036348575</c:v>
                </c:pt>
              </c:numCache>
            </c:numRef>
          </c:yVal>
          <c:smooth val="0"/>
        </c:ser>
        <c:ser>
          <c:idx val="19"/>
          <c:order val="1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Alkenes!$B$46:$B$50</c:f>
              <c:numCache>
                <c:ptCount val="5"/>
                <c:pt idx="0">
                  <c:v>3.4602076124567476</c:v>
                </c:pt>
                <c:pt idx="1">
                  <c:v>3.0864197530864197</c:v>
                </c:pt>
                <c:pt idx="2">
                  <c:v>2.857142857142857</c:v>
                </c:pt>
                <c:pt idx="3">
                  <c:v>2.5</c:v>
                </c:pt>
                <c:pt idx="4">
                  <c:v>2.2222222222222223</c:v>
                </c:pt>
              </c:numCache>
            </c:numRef>
          </c:xVal>
          <c:yVal>
            <c:numRef>
              <c:f>Alkenes!$H$46:$H$50</c:f>
              <c:numCache>
                <c:ptCount val="5"/>
                <c:pt idx="0">
                  <c:v>-3.863232841258714</c:v>
                </c:pt>
                <c:pt idx="1">
                  <c:v>-2.4079456086518722</c:v>
                </c:pt>
                <c:pt idx="2">
                  <c:v>-1.7147984280919266</c:v>
                </c:pt>
                <c:pt idx="3">
                  <c:v>-0.4155154439616658</c:v>
                </c:pt>
                <c:pt idx="4">
                  <c:v>0.6339278208999741</c:v>
                </c:pt>
              </c:numCache>
            </c:numRef>
          </c:yVal>
          <c:smooth val="0"/>
        </c:ser>
        <c:ser>
          <c:idx val="20"/>
          <c:order val="11"/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Alkenes!$B$45:$B$50</c:f>
              <c:numCache>
                <c:ptCount val="6"/>
                <c:pt idx="0">
                  <c:v>4.3478260869565215</c:v>
                </c:pt>
                <c:pt idx="1">
                  <c:v>3.4602076124567476</c:v>
                </c:pt>
                <c:pt idx="2">
                  <c:v>3.0864197530864197</c:v>
                </c:pt>
                <c:pt idx="3">
                  <c:v>2.857142857142857</c:v>
                </c:pt>
                <c:pt idx="4">
                  <c:v>2.5</c:v>
                </c:pt>
                <c:pt idx="5">
                  <c:v>2.2222222222222223</c:v>
                </c:pt>
              </c:numCache>
            </c:numRef>
          </c:xVal>
          <c:yVal>
            <c:numRef>
              <c:f>Alkenes!$K$45:$K$50</c:f>
              <c:numCache>
                <c:ptCount val="6"/>
                <c:pt idx="0">
                  <c:v>-7.2741294991908765</c:v>
                </c:pt>
                <c:pt idx="1">
                  <c:v>-3.9732219539510947</c:v>
                </c:pt>
                <c:pt idx="2">
                  <c:v>-2.6371861990524064</c:v>
                </c:pt>
                <c:pt idx="3">
                  <c:v>-1.8354389925978045</c:v>
                </c:pt>
                <c:pt idx="4">
                  <c:v>-0.6118636937405529</c:v>
                </c:pt>
                <c:pt idx="5">
                  <c:v>0.32306508971521236</c:v>
                </c:pt>
              </c:numCache>
            </c:numRef>
          </c:yVal>
          <c:smooth val="0"/>
        </c:ser>
        <c:ser>
          <c:idx val="9"/>
          <c:order val="12"/>
          <c:tx>
            <c:v>Ethene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Alkenes!$B$2:$B$7</c:f>
              <c:numCache>
                <c:ptCount val="6"/>
                <c:pt idx="0">
                  <c:v>6.944444444444445</c:v>
                </c:pt>
                <c:pt idx="1">
                  <c:v>6.097560975609756</c:v>
                </c:pt>
                <c:pt idx="2">
                  <c:v>5.434782608695652</c:v>
                </c:pt>
                <c:pt idx="3">
                  <c:v>4.878048780487805</c:v>
                </c:pt>
                <c:pt idx="4">
                  <c:v>4.444444444444445</c:v>
                </c:pt>
                <c:pt idx="5">
                  <c:v>4.081632653061225</c:v>
                </c:pt>
              </c:numCache>
            </c:numRef>
          </c:xVal>
          <c:yVal>
            <c:numRef>
              <c:f>Alkenes!$I$2:$I$7</c:f>
              <c:numCache>
                <c:ptCount val="6"/>
                <c:pt idx="0">
                  <c:v>-4.07569554125037</c:v>
                </c:pt>
                <c:pt idx="1">
                  <c:v>-2.6128904871627605</c:v>
                </c:pt>
                <c:pt idx="2">
                  <c:v>-1.5012128535007232</c:v>
                </c:pt>
                <c:pt idx="3">
                  <c:v>-0.5866131337592294</c:v>
                </c:pt>
                <c:pt idx="4">
                  <c:v>0.11877898397960673</c:v>
                </c:pt>
                <c:pt idx="5">
                  <c:v>0.7106270142192793</c:v>
                </c:pt>
              </c:numCache>
            </c:numRef>
          </c:yVal>
          <c:smooth val="0"/>
        </c:ser>
        <c:ser>
          <c:idx val="10"/>
          <c:order val="1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Alkenes!$B$2:$B$7</c:f>
              <c:numCache>
                <c:ptCount val="6"/>
                <c:pt idx="0">
                  <c:v>6.944444444444445</c:v>
                </c:pt>
                <c:pt idx="1">
                  <c:v>6.097560975609756</c:v>
                </c:pt>
                <c:pt idx="2">
                  <c:v>5.434782608695652</c:v>
                </c:pt>
                <c:pt idx="3">
                  <c:v>4.878048780487805</c:v>
                </c:pt>
                <c:pt idx="4">
                  <c:v>4.444444444444445</c:v>
                </c:pt>
                <c:pt idx="5">
                  <c:v>4.081632653061225</c:v>
                </c:pt>
              </c:numCache>
            </c:numRef>
          </c:xVal>
          <c:yVal>
            <c:numRef>
              <c:f>Alkenes!$H$2:$H$7</c:f>
              <c:numCache>
                <c:ptCount val="6"/>
                <c:pt idx="0">
                  <c:v>-3.611918412977808</c:v>
                </c:pt>
                <c:pt idx="1">
                  <c:v>-2.353878387381596</c:v>
                </c:pt>
                <c:pt idx="2">
                  <c:v>-1.2729656758128873</c:v>
                </c:pt>
                <c:pt idx="3">
                  <c:v>-0.37106368139083207</c:v>
                </c:pt>
                <c:pt idx="4">
                  <c:v>0.2468600779315258</c:v>
                </c:pt>
                <c:pt idx="5">
                  <c:v>0.8712933659434193</c:v>
                </c:pt>
              </c:numCache>
            </c:numRef>
          </c:yVal>
          <c:smooth val="0"/>
        </c:ser>
        <c:ser>
          <c:idx val="11"/>
          <c:order val="14"/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Alkenes!$B$8:$B$12</c:f>
              <c:numCache>
                <c:ptCount val="5"/>
                <c:pt idx="0">
                  <c:v>6.0606060606060606</c:v>
                </c:pt>
                <c:pt idx="1">
                  <c:v>5.4945054945054945</c:v>
                </c:pt>
                <c:pt idx="2">
                  <c:v>4.694835680751174</c:v>
                </c:pt>
                <c:pt idx="3">
                  <c:v>4.081632653061225</c:v>
                </c:pt>
                <c:pt idx="4">
                  <c:v>3.6231884057971016</c:v>
                </c:pt>
              </c:numCache>
            </c:numRef>
          </c:xVal>
          <c:yVal>
            <c:numRef>
              <c:f>Alkenes!$M$8:$M$12</c:f>
              <c:numCache>
                <c:ptCount val="5"/>
                <c:pt idx="0">
                  <c:v>-6.367328135440407</c:v>
                </c:pt>
                <c:pt idx="1">
                  <c:v>-4.945186774449826</c:v>
                </c:pt>
                <c:pt idx="2">
                  <c:v>-3.0143642463985074</c:v>
                </c:pt>
                <c:pt idx="3">
                  <c:v>-1.5994505627614046</c:v>
                </c:pt>
                <c:pt idx="4">
                  <c:v>-0.5757023034945365</c:v>
                </c:pt>
              </c:numCache>
            </c:numRef>
          </c:yVal>
          <c:smooth val="0"/>
        </c:ser>
        <c:ser>
          <c:idx val="12"/>
          <c:order val="15"/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Alkenes!$B$15:$B$21</c:f>
              <c:numCache>
                <c:ptCount val="7"/>
                <c:pt idx="0">
                  <c:v>5.2631578947368425</c:v>
                </c:pt>
                <c:pt idx="1">
                  <c:v>4.081632653061225</c:v>
                </c:pt>
                <c:pt idx="2">
                  <c:v>3.690036900369004</c:v>
                </c:pt>
                <c:pt idx="3">
                  <c:v>3.3783783783783785</c:v>
                </c:pt>
                <c:pt idx="4">
                  <c:v>3.1055900621118013</c:v>
                </c:pt>
                <c:pt idx="5">
                  <c:v>2.881844380403458</c:v>
                </c:pt>
                <c:pt idx="6">
                  <c:v>2.680965147453083</c:v>
                </c:pt>
              </c:numCache>
            </c:numRef>
          </c:xVal>
          <c:yVal>
            <c:numRef>
              <c:f>Alkenes!$M$15:$M$21</c:f>
              <c:numCache>
                <c:ptCount val="7"/>
                <c:pt idx="0">
                  <c:v>-6.6721846802826486</c:v>
                </c:pt>
                <c:pt idx="1">
                  <c:v>-3.302238258269044</c:v>
                </c:pt>
                <c:pt idx="2">
                  <c:v>-2.2461610243762724</c:v>
                </c:pt>
                <c:pt idx="3">
                  <c:v>-1.4271457592314563</c:v>
                </c:pt>
                <c:pt idx="4">
                  <c:v>-0.7239898961999249</c:v>
                </c:pt>
                <c:pt idx="5">
                  <c:v>-0.1547270037283115</c:v>
                </c:pt>
                <c:pt idx="6">
                  <c:v>0.35271582337755336</c:v>
                </c:pt>
              </c:numCache>
            </c:numRef>
          </c:yVal>
          <c:smooth val="0"/>
        </c:ser>
        <c:ser>
          <c:idx val="13"/>
          <c:order val="16"/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Alkenes!$B$22:$B$26</c:f>
              <c:numCache>
                <c:ptCount val="5"/>
                <c:pt idx="0">
                  <c:v>3.8461538461538463</c:v>
                </c:pt>
                <c:pt idx="1">
                  <c:v>2.8901734104046244</c:v>
                </c:pt>
                <c:pt idx="2">
                  <c:v>2.544529262086514</c:v>
                </c:pt>
                <c:pt idx="3">
                  <c:v>2.2675736961451247</c:v>
                </c:pt>
                <c:pt idx="4">
                  <c:v>2.0242914979757085</c:v>
                </c:pt>
              </c:numCache>
            </c:numRef>
          </c:xVal>
          <c:yVal>
            <c:numRef>
              <c:f>Alkenes!$M$22:$M$26</c:f>
              <c:numCache>
                <c:ptCount val="5"/>
                <c:pt idx="0">
                  <c:v>-9.264637718113748</c:v>
                </c:pt>
                <c:pt idx="1">
                  <c:v>-4.885693805643468</c:v>
                </c:pt>
                <c:pt idx="2">
                  <c:v>-3.3935029416712585</c:v>
                </c:pt>
                <c:pt idx="3">
                  <c:v>-2.238066168755177</c:v>
                </c:pt>
                <c:pt idx="4">
                  <c:v>-1.2508433859606825</c:v>
                </c:pt>
              </c:numCache>
            </c:numRef>
          </c:yVal>
          <c:smooth val="0"/>
        </c:ser>
        <c:ser>
          <c:idx val="17"/>
          <c:order val="17"/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Alkenes!$B$45:$B$50</c:f>
              <c:numCache>
                <c:ptCount val="6"/>
                <c:pt idx="0">
                  <c:v>4.3478260869565215</c:v>
                </c:pt>
                <c:pt idx="1">
                  <c:v>3.4602076124567476</c:v>
                </c:pt>
                <c:pt idx="2">
                  <c:v>3.0864197530864197</c:v>
                </c:pt>
                <c:pt idx="3">
                  <c:v>2.857142857142857</c:v>
                </c:pt>
                <c:pt idx="4">
                  <c:v>2.5</c:v>
                </c:pt>
                <c:pt idx="5">
                  <c:v>2.2222222222222223</c:v>
                </c:pt>
              </c:numCache>
            </c:numRef>
          </c:xVal>
          <c:yVal>
            <c:numRef>
              <c:f>Alkenes!$M$45:$M$50</c:f>
              <c:numCache>
                <c:ptCount val="6"/>
                <c:pt idx="0">
                  <c:v>-7.237488132700046</c:v>
                </c:pt>
                <c:pt idx="1">
                  <c:v>-4.177043561466237</c:v>
                </c:pt>
                <c:pt idx="2">
                  <c:v>-2.9361535363053806</c:v>
                </c:pt>
                <c:pt idx="3">
                  <c:v>-2.1902038793001988</c:v>
                </c:pt>
                <c:pt idx="4">
                  <c:v>-1.0502878995606997</c:v>
                </c:pt>
                <c:pt idx="5">
                  <c:v>-0.17801772513464173</c:v>
                </c:pt>
              </c:numCache>
            </c:numRef>
          </c:yVal>
          <c:smooth val="0"/>
        </c:ser>
        <c:axId val="29113262"/>
        <c:axId val="60692767"/>
      </c:scatterChart>
      <c:valAx>
        <c:axId val="29113262"/>
        <c:scaling>
          <c:orientation val="minMax"/>
          <c:max val="7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1000/T(K)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92767"/>
        <c:crossesAt val="-100"/>
        <c:crossBetween val="midCat"/>
        <c:dispUnits/>
      </c:valAx>
      <c:valAx>
        <c:axId val="60692767"/>
        <c:scaling>
          <c:orientation val="minMax"/>
          <c:max val="1"/>
          <c:min val="-9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Ln(P/Mpa)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13262"/>
        <c:crosses val="autoZero"/>
        <c:crossBetween val="midCat"/>
        <c:dispUnits/>
      </c:valAx>
      <c:spPr>
        <a:noFill/>
      </c:spPr>
    </c:plotArea>
    <c:legend>
      <c:legendPos val="t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0"/>
          <c:y val="0"/>
          <c:w val="1"/>
          <c:h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1645"/>
          <c:w val="0.8865"/>
          <c:h val="0.78125"/>
        </c:manualLayout>
      </c:layout>
      <c:scatterChart>
        <c:scatterStyle val="lineMarker"/>
        <c:varyColors val="0"/>
        <c:ser>
          <c:idx val="0"/>
          <c:order val="0"/>
          <c:tx>
            <c:v>Propane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99CC00"/>
                </a:solidFill>
              </a:ln>
            </c:spPr>
          </c:marker>
          <c:xVal>
            <c:numRef>
              <c:f>nAlkanes!$B$12:$B$19</c:f>
              <c:numCache>
                <c:ptCount val="8"/>
                <c:pt idx="0">
                  <c:v>5.9880239520958085</c:v>
                </c:pt>
                <c:pt idx="1">
                  <c:v>5.555555555555555</c:v>
                </c:pt>
                <c:pt idx="2">
                  <c:v>5</c:v>
                </c:pt>
                <c:pt idx="3">
                  <c:v>4.608294930875576</c:v>
                </c:pt>
                <c:pt idx="4">
                  <c:v>4.016064257028113</c:v>
                </c:pt>
                <c:pt idx="5">
                  <c:v>3.5587188612099645</c:v>
                </c:pt>
                <c:pt idx="6">
                  <c:v>3.2051282051282053</c:v>
                </c:pt>
                <c:pt idx="7">
                  <c:v>2.9069767441860463</c:v>
                </c:pt>
              </c:numCache>
            </c:numRef>
          </c:xVal>
          <c:yVal>
            <c:numRef>
              <c:f>nAlkanes!$I$12:$I$19</c:f>
              <c:numCache>
                <c:ptCount val="8"/>
                <c:pt idx="0">
                  <c:v>-6.397149679419696</c:v>
                </c:pt>
                <c:pt idx="1">
                  <c:v>-5.292216017690061</c:v>
                </c:pt>
                <c:pt idx="2">
                  <c:v>-3.908130590712802</c:v>
                </c:pt>
                <c:pt idx="3">
                  <c:v>-2.957569812459642</c:v>
                </c:pt>
                <c:pt idx="4">
                  <c:v>-1.5608858718519347</c:v>
                </c:pt>
                <c:pt idx="5">
                  <c:v>-0.5118261240995742</c:v>
                </c:pt>
                <c:pt idx="6">
                  <c:v>0.28893129185221283</c:v>
                </c:pt>
                <c:pt idx="7">
                  <c:v>0.9669838461896731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nAlkanes!$B$15:$B$19</c:f>
              <c:numCache>
                <c:ptCount val="5"/>
                <c:pt idx="0">
                  <c:v>4.608294930875576</c:v>
                </c:pt>
                <c:pt idx="1">
                  <c:v>4.016064257028113</c:v>
                </c:pt>
                <c:pt idx="2">
                  <c:v>3.5587188612099645</c:v>
                </c:pt>
                <c:pt idx="3">
                  <c:v>3.2051282051282053</c:v>
                </c:pt>
                <c:pt idx="4">
                  <c:v>2.9069767441860463</c:v>
                </c:pt>
              </c:numCache>
            </c:numRef>
          </c:xVal>
          <c:yVal>
            <c:numRef>
              <c:f>nAlkanes!$H$15:$H$19</c:f>
              <c:numCache>
                <c:ptCount val="5"/>
                <c:pt idx="0">
                  <c:v>-2.5307411861317997</c:v>
                </c:pt>
                <c:pt idx="1">
                  <c:v>-1.2869921600460283</c:v>
                </c:pt>
                <c:pt idx="2">
                  <c:v>-0.22512050419843094</c:v>
                </c:pt>
                <c:pt idx="3">
                  <c:v>0.4185655875406922</c:v>
                </c:pt>
                <c:pt idx="4">
                  <c:v>1.0733286681336103</c:v>
                </c:pt>
              </c:numCache>
            </c:numRef>
          </c:yVal>
          <c:smooth val="0"/>
        </c:ser>
        <c:ser>
          <c:idx val="3"/>
          <c:order val="2"/>
          <c:tx>
            <c:v>n-Butane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nAlkanes!$B$20:$B$27</c:f>
              <c:numCache>
                <c:ptCount val="8"/>
                <c:pt idx="0">
                  <c:v>5.128205128205129</c:v>
                </c:pt>
                <c:pt idx="1">
                  <c:v>4.761904761904762</c:v>
                </c:pt>
                <c:pt idx="2">
                  <c:v>4.3478260869565215</c:v>
                </c:pt>
                <c:pt idx="3">
                  <c:v>3.816793893129771</c:v>
                </c:pt>
                <c:pt idx="4">
                  <c:v>3.389830508474576</c:v>
                </c:pt>
                <c:pt idx="5">
                  <c:v>3.058103975535168</c:v>
                </c:pt>
                <c:pt idx="6">
                  <c:v>2.7777777777777777</c:v>
                </c:pt>
                <c:pt idx="7">
                  <c:v>2.5510204081632653</c:v>
                </c:pt>
              </c:numCache>
            </c:numRef>
          </c:xVal>
          <c:yVal>
            <c:numRef>
              <c:f>nAlkanes!$I$20:$I$27</c:f>
              <c:numCache>
                <c:ptCount val="8"/>
                <c:pt idx="0">
                  <c:v>-6.642088780588037</c:v>
                </c:pt>
                <c:pt idx="1">
                  <c:v>-5.508594052155423</c:v>
                </c:pt>
                <c:pt idx="2">
                  <c:v>-4.25966741905261</c:v>
                </c:pt>
                <c:pt idx="3">
                  <c:v>-2.711753466368775</c:v>
                </c:pt>
                <c:pt idx="4">
                  <c:v>-1.5109828208109133</c:v>
                </c:pt>
                <c:pt idx="5">
                  <c:v>-0.6011139020613644</c:v>
                </c:pt>
                <c:pt idx="6">
                  <c:v>0.15883707643793304</c:v>
                </c:pt>
                <c:pt idx="7">
                  <c:v>0.7756293715741722</c:v>
                </c:pt>
              </c:numCache>
            </c:numRef>
          </c:yVal>
          <c:smooth val="0"/>
        </c:ser>
        <c:ser>
          <c:idx val="4"/>
          <c:order val="3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nAlkanes!$B$23:$B$27</c:f>
              <c:numCache>
                <c:ptCount val="5"/>
                <c:pt idx="0">
                  <c:v>3.816793893129771</c:v>
                </c:pt>
                <c:pt idx="1">
                  <c:v>3.389830508474576</c:v>
                </c:pt>
                <c:pt idx="2">
                  <c:v>3.058103975535168</c:v>
                </c:pt>
                <c:pt idx="3">
                  <c:v>2.7777777777777777</c:v>
                </c:pt>
                <c:pt idx="4">
                  <c:v>2.5510204081632653</c:v>
                </c:pt>
              </c:numCache>
            </c:numRef>
          </c:xVal>
          <c:yVal>
            <c:numRef>
              <c:f>nAlkanes!$H$23:$H$27</c:f>
              <c:numCache>
                <c:ptCount val="5"/>
                <c:pt idx="0">
                  <c:v>-2.2144826447725</c:v>
                </c:pt>
                <c:pt idx="1">
                  <c:v>-1.254284124867307</c:v>
                </c:pt>
                <c:pt idx="2">
                  <c:v>-0.2822289676903412</c:v>
                </c:pt>
                <c:pt idx="3">
                  <c:v>0.39080957178338627</c:v>
                </c:pt>
                <c:pt idx="4">
                  <c:v>0.9400576478469062</c:v>
                </c:pt>
              </c:numCache>
            </c:numRef>
          </c:yVal>
          <c:smooth val="0"/>
        </c:ser>
        <c:ser>
          <c:idx val="6"/>
          <c:order val="4"/>
          <c:tx>
            <c:v>n-Pentane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nAlkanes!$B$28:$B$35</c:f>
              <c:numCache>
                <c:ptCount val="8"/>
                <c:pt idx="0">
                  <c:v>4.651162790697675</c:v>
                </c:pt>
                <c:pt idx="1">
                  <c:v>4.3478260869565215</c:v>
                </c:pt>
                <c:pt idx="2">
                  <c:v>3.7037037037037037</c:v>
                </c:pt>
                <c:pt idx="3">
                  <c:v>3.3557046979865772</c:v>
                </c:pt>
                <c:pt idx="4">
                  <c:v>2.9761904761904763</c:v>
                </c:pt>
                <c:pt idx="5">
                  <c:v>2.6881720430107525</c:v>
                </c:pt>
                <c:pt idx="6">
                  <c:v>2.487562189054726</c:v>
                </c:pt>
                <c:pt idx="7">
                  <c:v>2.277904328018223</c:v>
                </c:pt>
              </c:numCache>
            </c:numRef>
          </c:xVal>
          <c:yVal>
            <c:numRef>
              <c:f>nAlkanes!$I$28:$I$35</c:f>
              <c:numCache>
                <c:ptCount val="8"/>
                <c:pt idx="0">
                  <c:v>-7.238150021043323</c:v>
                </c:pt>
                <c:pt idx="1">
                  <c:v>-6.124950226491657</c:v>
                </c:pt>
                <c:pt idx="2">
                  <c:v>-3.8563518080576853</c:v>
                </c:pt>
                <c:pt idx="3">
                  <c:v>-2.687958930517065</c:v>
                </c:pt>
                <c:pt idx="4">
                  <c:v>-1.4583747944827832</c:v>
                </c:pt>
                <c:pt idx="5">
                  <c:v>-0.5503706484122624</c:v>
                </c:pt>
                <c:pt idx="6">
                  <c:v>0.07582931941294073</c:v>
                </c:pt>
                <c:pt idx="7">
                  <c:v>0.7344490717662403</c:v>
                </c:pt>
              </c:numCache>
            </c:numRef>
          </c:yVal>
          <c:smooth val="0"/>
        </c:ser>
        <c:ser>
          <c:idx val="7"/>
          <c:order val="5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nAlkanes!$B$31:$B$35</c:f>
              <c:numCache>
                <c:ptCount val="5"/>
                <c:pt idx="0">
                  <c:v>3.3557046979865772</c:v>
                </c:pt>
                <c:pt idx="1">
                  <c:v>2.9761904761904763</c:v>
                </c:pt>
                <c:pt idx="2">
                  <c:v>2.6881720430107525</c:v>
                </c:pt>
                <c:pt idx="3">
                  <c:v>2.487562189054726</c:v>
                </c:pt>
                <c:pt idx="4">
                  <c:v>2.277904328018223</c:v>
                </c:pt>
              </c:numCache>
            </c:numRef>
          </c:xVal>
          <c:yVal>
            <c:numRef>
              <c:f>nAlkanes!$H$31:$H$35</c:f>
              <c:numCache>
                <c:ptCount val="5"/>
                <c:pt idx="0">
                  <c:v>-2.249992642874875</c:v>
                </c:pt>
                <c:pt idx="1">
                  <c:v>-1.0842656949611882</c:v>
                </c:pt>
                <c:pt idx="2">
                  <c:v>-0.3547054560823744</c:v>
                </c:pt>
                <c:pt idx="3">
                  <c:v>0.3417085034164592</c:v>
                </c:pt>
                <c:pt idx="4">
                  <c:v>0.8357659080012784</c:v>
                </c:pt>
              </c:numCache>
            </c:numRef>
          </c:yVal>
          <c:smooth val="0"/>
        </c:ser>
        <c:ser>
          <c:idx val="9"/>
          <c:order val="6"/>
          <c:tx>
            <c:v>n-Octane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nAlkanes!$B$36:$B$42</c:f>
              <c:numCache>
                <c:ptCount val="7"/>
                <c:pt idx="0">
                  <c:v>3.8461538461538463</c:v>
                </c:pt>
                <c:pt idx="1">
                  <c:v>3.4482758620689653</c:v>
                </c:pt>
                <c:pt idx="2">
                  <c:v>2.9411764705882355</c:v>
                </c:pt>
                <c:pt idx="3">
                  <c:v>2.5641025641025643</c:v>
                </c:pt>
                <c:pt idx="4">
                  <c:v>2.272727272727273</c:v>
                </c:pt>
                <c:pt idx="5">
                  <c:v>2.0408163265306123</c:v>
                </c:pt>
                <c:pt idx="6">
                  <c:v>1.8518518518518519</c:v>
                </c:pt>
              </c:numCache>
            </c:numRef>
          </c:xVal>
          <c:yVal>
            <c:numRef>
              <c:f>nAlkanes!$I$36:$I$42</c:f>
              <c:numCache>
                <c:ptCount val="7"/>
                <c:pt idx="0">
                  <c:v>-8.815666614946238</c:v>
                </c:pt>
                <c:pt idx="1">
                  <c:v>-6.755463468639879</c:v>
                </c:pt>
                <c:pt idx="2">
                  <c:v>-4.27327985887199</c:v>
                </c:pt>
                <c:pt idx="3">
                  <c:v>-2.5421121235587796</c:v>
                </c:pt>
                <c:pt idx="4">
                  <c:v>-1.2694006096483912</c:v>
                </c:pt>
                <c:pt idx="5">
                  <c:v>-0.2876820724517809</c:v>
                </c:pt>
                <c:pt idx="6">
                  <c:v>0.5062150112083075</c:v>
                </c:pt>
              </c:numCache>
            </c:numRef>
          </c:yVal>
          <c:smooth val="0"/>
        </c:ser>
        <c:ser>
          <c:idx val="10"/>
          <c:order val="7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nAlkanes!$B$39:$B$42</c:f>
              <c:numCache>
                <c:ptCount val="4"/>
                <c:pt idx="0">
                  <c:v>2.5641025641025643</c:v>
                </c:pt>
                <c:pt idx="1">
                  <c:v>2.272727272727273</c:v>
                </c:pt>
                <c:pt idx="2">
                  <c:v>2.0408163265306123</c:v>
                </c:pt>
                <c:pt idx="3">
                  <c:v>1.8518518518518519</c:v>
                </c:pt>
              </c:numCache>
            </c:numRef>
          </c:xVal>
          <c:yVal>
            <c:numRef>
              <c:f>nAlkanes!$H$39:$H$42</c:f>
              <c:numCache>
                <c:ptCount val="4"/>
                <c:pt idx="0">
                  <c:v>-2.2072749131897207</c:v>
                </c:pt>
                <c:pt idx="1">
                  <c:v>-1.039306182770702</c:v>
                </c:pt>
                <c:pt idx="2">
                  <c:v>-0.09574027228083568</c:v>
                </c:pt>
                <c:pt idx="3">
                  <c:v>0.5429055172294024</c:v>
                </c:pt>
              </c:numCache>
            </c:numRef>
          </c:yVal>
          <c:smooth val="0"/>
        </c:ser>
        <c:ser>
          <c:idx val="12"/>
          <c:order val="8"/>
          <c:tx>
            <c:v>n-Dodecane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nAlkanes!$B$43:$B$50</c:f>
              <c:numCache>
                <c:ptCount val="8"/>
                <c:pt idx="0">
                  <c:v>3.3333333333333335</c:v>
                </c:pt>
                <c:pt idx="1">
                  <c:v>2.857142857142857</c:v>
                </c:pt>
                <c:pt idx="2">
                  <c:v>2.5</c:v>
                </c:pt>
                <c:pt idx="3">
                  <c:v>2.2222222222222223</c:v>
                </c:pt>
                <c:pt idx="4">
                  <c:v>2</c:v>
                </c:pt>
                <c:pt idx="5">
                  <c:v>1.8181818181818181</c:v>
                </c:pt>
                <c:pt idx="6">
                  <c:v>1.7094017094017093</c:v>
                </c:pt>
                <c:pt idx="7">
                  <c:v>1.6129032258064515</c:v>
                </c:pt>
              </c:numCache>
            </c:numRef>
          </c:xVal>
          <c:yVal>
            <c:numRef>
              <c:f>nAlkanes!$I$43:$I$50</c:f>
              <c:numCache>
                <c:ptCount val="8"/>
                <c:pt idx="0">
                  <c:v>-10.779116302691394</c:v>
                </c:pt>
                <c:pt idx="1">
                  <c:v>-7.387324513097574</c:v>
                </c:pt>
                <c:pt idx="2">
                  <c:v>-5.036491708641483</c:v>
                </c:pt>
                <c:pt idx="3">
                  <c:v>-3.332713528296989</c:v>
                </c:pt>
                <c:pt idx="4">
                  <c:v>-2.0463865854180328</c:v>
                </c:pt>
                <c:pt idx="5">
                  <c:v>-1.0356649223361107</c:v>
                </c:pt>
                <c:pt idx="6">
                  <c:v>-0.44167446983669517</c:v>
                </c:pt>
                <c:pt idx="7">
                  <c:v>0.08493120548014549</c:v>
                </c:pt>
              </c:numCache>
            </c:numRef>
          </c:yVal>
          <c:smooth val="0"/>
        </c:ser>
        <c:ser>
          <c:idx val="15"/>
          <c:order val="9"/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nAlkanes!$B$12:$B$19</c:f>
              <c:numCache>
                <c:ptCount val="8"/>
                <c:pt idx="0">
                  <c:v>5.9880239520958085</c:v>
                </c:pt>
                <c:pt idx="1">
                  <c:v>5.555555555555555</c:v>
                </c:pt>
                <c:pt idx="2">
                  <c:v>5</c:v>
                </c:pt>
                <c:pt idx="3">
                  <c:v>4.608294930875576</c:v>
                </c:pt>
                <c:pt idx="4">
                  <c:v>4.016064257028113</c:v>
                </c:pt>
                <c:pt idx="5">
                  <c:v>3.5587188612099645</c:v>
                </c:pt>
                <c:pt idx="6">
                  <c:v>3.2051282051282053</c:v>
                </c:pt>
                <c:pt idx="7">
                  <c:v>2.9069767441860463</c:v>
                </c:pt>
              </c:numCache>
            </c:numRef>
          </c:xVal>
          <c:yVal>
            <c:numRef>
              <c:f>nAlkanes!$K$12:$K$19</c:f>
              <c:numCache>
                <c:ptCount val="8"/>
                <c:pt idx="0">
                  <c:v>-7.235660289119371</c:v>
                </c:pt>
                <c:pt idx="1">
                  <c:v>-6.00762394989106</c:v>
                </c:pt>
                <c:pt idx="2">
                  <c:v>-4.47957354120351</c:v>
                </c:pt>
                <c:pt idx="3">
                  <c:v>-3.438148387652805</c:v>
                </c:pt>
                <c:pt idx="4">
                  <c:v>-1.9220700245282405</c:v>
                </c:pt>
                <c:pt idx="5">
                  <c:v>-0.7971632204496136</c:v>
                </c:pt>
                <c:pt idx="6">
                  <c:v>0.0500092804541647</c:v>
                </c:pt>
                <c:pt idx="7">
                  <c:v>0.7545259217839076</c:v>
                </c:pt>
              </c:numCache>
            </c:numRef>
          </c:yVal>
          <c:smooth val="0"/>
        </c:ser>
        <c:ser>
          <c:idx val="16"/>
          <c:order val="10"/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nAlkanes!$B$20:$B$27</c:f>
              <c:numCache>
                <c:ptCount val="8"/>
                <c:pt idx="0">
                  <c:v>5.128205128205129</c:v>
                </c:pt>
                <c:pt idx="1">
                  <c:v>4.761904761904762</c:v>
                </c:pt>
                <c:pt idx="2">
                  <c:v>4.3478260869565215</c:v>
                </c:pt>
                <c:pt idx="3">
                  <c:v>3.816793893129771</c:v>
                </c:pt>
                <c:pt idx="4">
                  <c:v>3.389830508474576</c:v>
                </c:pt>
                <c:pt idx="5">
                  <c:v>3.058103975535168</c:v>
                </c:pt>
                <c:pt idx="6">
                  <c:v>2.7777777777777777</c:v>
                </c:pt>
                <c:pt idx="7">
                  <c:v>2.5510204081632653</c:v>
                </c:pt>
              </c:numCache>
            </c:numRef>
          </c:xVal>
          <c:yVal>
            <c:numRef>
              <c:f>nAlkanes!$K$20:$K$27</c:f>
              <c:numCache>
                <c:ptCount val="8"/>
                <c:pt idx="0">
                  <c:v>-6.916850899986204</c:v>
                </c:pt>
                <c:pt idx="1">
                  <c:v>-5.730156990335778</c:v>
                </c:pt>
                <c:pt idx="2">
                  <c:v>-4.429173145157504</c:v>
                </c:pt>
                <c:pt idx="3">
                  <c:v>-2.827910815525402</c:v>
                </c:pt>
                <c:pt idx="4">
                  <c:v>-1.596050108161006</c:v>
                </c:pt>
                <c:pt idx="5">
                  <c:v>-0.6704575353336806</c:v>
                </c:pt>
                <c:pt idx="6">
                  <c:v>0.09452014781268157</c:v>
                </c:pt>
                <c:pt idx="7">
                  <c:v>0.706048571819341</c:v>
                </c:pt>
              </c:numCache>
            </c:numRef>
          </c:yVal>
          <c:smooth val="0"/>
        </c:ser>
        <c:ser>
          <c:idx val="17"/>
          <c:order val="11"/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nAlkanes!$B$28:$B$35</c:f>
              <c:numCache>
                <c:ptCount val="8"/>
                <c:pt idx="0">
                  <c:v>4.651162790697675</c:v>
                </c:pt>
                <c:pt idx="1">
                  <c:v>4.3478260869565215</c:v>
                </c:pt>
                <c:pt idx="2">
                  <c:v>3.7037037037037037</c:v>
                </c:pt>
                <c:pt idx="3">
                  <c:v>3.3557046979865772</c:v>
                </c:pt>
                <c:pt idx="4">
                  <c:v>2.9761904761904763</c:v>
                </c:pt>
                <c:pt idx="5">
                  <c:v>2.6881720430107525</c:v>
                </c:pt>
                <c:pt idx="6">
                  <c:v>2.487562189054726</c:v>
                </c:pt>
                <c:pt idx="7">
                  <c:v>2.277904328018223</c:v>
                </c:pt>
              </c:numCache>
            </c:numRef>
          </c:xVal>
          <c:yVal>
            <c:numRef>
              <c:f>nAlkanes!$K$28:$K$35</c:f>
              <c:numCache>
                <c:ptCount val="8"/>
                <c:pt idx="0">
                  <c:v>-7.208741519944372</c:v>
                </c:pt>
                <c:pt idx="1">
                  <c:v>-6.092790243273053</c:v>
                </c:pt>
                <c:pt idx="2">
                  <c:v>-3.8231864971686056</c:v>
                </c:pt>
                <c:pt idx="3">
                  <c:v>-2.6577373483085593</c:v>
                </c:pt>
                <c:pt idx="4">
                  <c:v>-1.435658107799601</c:v>
                </c:pt>
                <c:pt idx="5">
                  <c:v>-0.5390260497428925</c:v>
                </c:pt>
                <c:pt idx="6">
                  <c:v>0.07310637777054449</c:v>
                </c:pt>
                <c:pt idx="7">
                  <c:v>0.7061969208493659</c:v>
                </c:pt>
              </c:numCache>
            </c:numRef>
          </c:yVal>
          <c:smooth val="0"/>
        </c:ser>
        <c:ser>
          <c:idx val="18"/>
          <c:order val="12"/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nAlkanes!$B$36:$B$42</c:f>
              <c:numCache>
                <c:ptCount val="7"/>
                <c:pt idx="0">
                  <c:v>3.8461538461538463</c:v>
                </c:pt>
                <c:pt idx="1">
                  <c:v>3.4482758620689653</c:v>
                </c:pt>
                <c:pt idx="2">
                  <c:v>2.9411764705882355</c:v>
                </c:pt>
                <c:pt idx="3">
                  <c:v>2.5641025641025643</c:v>
                </c:pt>
                <c:pt idx="4">
                  <c:v>2.272727272727273</c:v>
                </c:pt>
                <c:pt idx="5">
                  <c:v>2.0408163265306123</c:v>
                </c:pt>
                <c:pt idx="6">
                  <c:v>1.8518518518518519</c:v>
                </c:pt>
              </c:numCache>
            </c:numRef>
          </c:xVal>
          <c:yVal>
            <c:numRef>
              <c:f>nAlkanes!$K$36:$K$42</c:f>
              <c:numCache>
                <c:ptCount val="7"/>
                <c:pt idx="0">
                  <c:v>-8.46203837915777</c:v>
                </c:pt>
                <c:pt idx="1">
                  <c:v>-6.49014164891532</c:v>
                </c:pt>
                <c:pt idx="2">
                  <c:v>-4.113894466099967</c:v>
                </c:pt>
                <c:pt idx="3">
                  <c:v>-2.4581625425341946</c:v>
                </c:pt>
                <c:pt idx="4">
                  <c:v>-1.2447420423360138</c:v>
                </c:pt>
                <c:pt idx="5">
                  <c:v>-0.31488702921194023</c:v>
                </c:pt>
                <c:pt idx="6">
                  <c:v>0.42628028322469713</c:v>
                </c:pt>
              </c:numCache>
            </c:numRef>
          </c:yVal>
          <c:smooth val="0"/>
        </c:ser>
        <c:ser>
          <c:idx val="19"/>
          <c:order val="13"/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nAlkanes!$B$43:$B$50</c:f>
              <c:numCache>
                <c:ptCount val="8"/>
                <c:pt idx="0">
                  <c:v>3.3333333333333335</c:v>
                </c:pt>
                <c:pt idx="1">
                  <c:v>2.857142857142857</c:v>
                </c:pt>
                <c:pt idx="2">
                  <c:v>2.5</c:v>
                </c:pt>
                <c:pt idx="3">
                  <c:v>2.2222222222222223</c:v>
                </c:pt>
                <c:pt idx="4">
                  <c:v>2</c:v>
                </c:pt>
                <c:pt idx="5">
                  <c:v>1.8181818181818181</c:v>
                </c:pt>
                <c:pt idx="6">
                  <c:v>1.7094017094017093</c:v>
                </c:pt>
                <c:pt idx="7">
                  <c:v>1.6129032258064515</c:v>
                </c:pt>
              </c:numCache>
            </c:numRef>
          </c:xVal>
          <c:yVal>
            <c:numRef>
              <c:f>nAlkanes!$K$43:$K$50</c:f>
              <c:numCache>
                <c:ptCount val="8"/>
                <c:pt idx="0">
                  <c:v>-10.32540722531379</c:v>
                </c:pt>
                <c:pt idx="1">
                  <c:v>-7.171937812403885</c:v>
                </c:pt>
                <c:pt idx="2">
                  <c:v>-4.959158567943932</c:v>
                </c:pt>
                <c:pt idx="3">
                  <c:v>-3.3439472697433015</c:v>
                </c:pt>
                <c:pt idx="4">
                  <c:v>-2.1233209460675084</c:v>
                </c:pt>
                <c:pt idx="5">
                  <c:v>-1.1704739522926673</c:v>
                </c:pt>
                <c:pt idx="6">
                  <c:v>-0.6178464891047133</c:v>
                </c:pt>
                <c:pt idx="7">
                  <c:v>-0.1364581627593262</c:v>
                </c:pt>
              </c:numCache>
            </c:numRef>
          </c:yVal>
          <c:smooth val="0"/>
        </c:ser>
        <c:ser>
          <c:idx val="13"/>
          <c:order val="14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nAlkanes!$B$46:$B$50</c:f>
              <c:numCache>
                <c:ptCount val="5"/>
                <c:pt idx="0">
                  <c:v>2.2222222222222223</c:v>
                </c:pt>
                <c:pt idx="1">
                  <c:v>2</c:v>
                </c:pt>
                <c:pt idx="2">
                  <c:v>1.8181818181818181</c:v>
                </c:pt>
                <c:pt idx="3">
                  <c:v>1.7094017094017093</c:v>
                </c:pt>
                <c:pt idx="4">
                  <c:v>1.6129032258064515</c:v>
                </c:pt>
              </c:numCache>
            </c:numRef>
          </c:xVal>
          <c:yVal>
            <c:numRef>
              <c:f>nAlkanes!$H$46:$H$50</c:f>
              <c:numCache>
                <c:ptCount val="5"/>
                <c:pt idx="0">
                  <c:v>-3.0640111143072852</c:v>
                </c:pt>
                <c:pt idx="1">
                  <c:v>-1.7770876289961863</c:v>
                </c:pt>
                <c:pt idx="2">
                  <c:v>-0.8862466105257784</c:v>
                </c:pt>
                <c:pt idx="3">
                  <c:v>-0.28722884184295866</c:v>
                </c:pt>
                <c:pt idx="4">
                  <c:v>0.17349942262084453</c:v>
                </c:pt>
              </c:numCache>
            </c:numRef>
          </c:yVal>
          <c:smooth val="0"/>
        </c:ser>
        <c:axId val="9363992"/>
        <c:axId val="17167065"/>
      </c:scatterChart>
      <c:valAx>
        <c:axId val="9363992"/>
        <c:scaling>
          <c:orientation val="minMax"/>
          <c:max val="6.1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1000/Tr(K)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67065"/>
        <c:crossesAt val="-100"/>
        <c:crossBetween val="midCat"/>
        <c:dispUnits/>
      </c:valAx>
      <c:valAx>
        <c:axId val="17167065"/>
        <c:scaling>
          <c:orientation val="minMax"/>
          <c:max val="2"/>
          <c:min val="-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Ln(P MPa)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63992"/>
        <c:crosses val="autoZero"/>
        <c:crossBetween val="midCat"/>
        <c:dispUnits/>
      </c:valAx>
      <c:spPr>
        <a:noFill/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"/>
          <c:y val="0"/>
          <c:w val="1"/>
          <c:h val="0.1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2.75" right="2.75" top="3.75" bottom="3.7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" right="2.75" top="3.75" bottom="3.7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" right="2.75" top="3.75" bottom="3.7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27336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27336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27336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zoomScale="80" zoomScaleNormal="80" workbookViewId="0" topLeftCell="A1">
      <selection activeCell="K27" sqref="K27"/>
    </sheetView>
  </sheetViews>
  <sheetFormatPr defaultColWidth="9.140625" defaultRowHeight="12.75"/>
  <cols>
    <col min="1" max="1" width="5.7109375" style="0" customWidth="1"/>
    <col min="2" max="2" width="11.421875" style="10" customWidth="1"/>
    <col min="4" max="7" width="9.140625" style="12" customWidth="1"/>
    <col min="8" max="9" width="9.140625" style="10" customWidth="1"/>
    <col min="10" max="10" width="9.140625" style="12" customWidth="1"/>
    <col min="11" max="11" width="13.7109375" style="10" customWidth="1"/>
    <col min="12" max="12" width="9.140625" style="10" customWidth="1"/>
    <col min="15" max="15" width="9.57421875" style="0" bestFit="1" customWidth="1"/>
  </cols>
  <sheetData>
    <row r="1" spans="1:4" ht="12.75">
      <c r="A1" t="s">
        <v>15</v>
      </c>
      <c r="C1">
        <v>7</v>
      </c>
      <c r="D1" s="12" t="s">
        <v>13</v>
      </c>
    </row>
    <row r="2" spans="1:4" ht="12.75">
      <c r="A2" t="s">
        <v>14</v>
      </c>
      <c r="C2">
        <v>6</v>
      </c>
      <c r="D2" s="12" t="s">
        <v>16</v>
      </c>
    </row>
    <row r="3" spans="1:4" ht="12.75">
      <c r="A3" t="s">
        <v>18</v>
      </c>
      <c r="C3">
        <v>8</v>
      </c>
      <c r="D3" s="12" t="s">
        <v>19</v>
      </c>
    </row>
    <row r="4" spans="1:4" ht="12.75">
      <c r="A4" t="s">
        <v>17</v>
      </c>
      <c r="C4">
        <v>9</v>
      </c>
      <c r="D4" s="12" t="s">
        <v>20</v>
      </c>
    </row>
    <row r="5" spans="1:4" ht="12.75">
      <c r="A5" t="s">
        <v>24</v>
      </c>
      <c r="C5">
        <v>12</v>
      </c>
      <c r="D5" s="12" t="s">
        <v>25</v>
      </c>
    </row>
    <row r="6" spans="1:4" ht="12.75">
      <c r="A6" t="s">
        <v>21</v>
      </c>
      <c r="C6">
        <v>7</v>
      </c>
      <c r="D6" s="12" t="s">
        <v>22</v>
      </c>
    </row>
    <row r="7" spans="1:4" ht="12.75">
      <c r="A7" t="s">
        <v>23</v>
      </c>
      <c r="C7">
        <v>3</v>
      </c>
      <c r="D7" s="12" t="s">
        <v>26</v>
      </c>
    </row>
    <row r="8" spans="1:4" ht="12.75">
      <c r="A8" t="s">
        <v>27</v>
      </c>
      <c r="C8">
        <v>3</v>
      </c>
      <c r="D8" s="12" t="s">
        <v>28</v>
      </c>
    </row>
    <row r="10" spans="5:10" ht="12.75">
      <c r="E10" s="12" t="s">
        <v>64</v>
      </c>
      <c r="J10" s="12" t="s">
        <v>58</v>
      </c>
    </row>
    <row r="11" spans="4:23" ht="12.75">
      <c r="D11" s="12" t="s">
        <v>31</v>
      </c>
      <c r="E11" s="12" t="s">
        <v>9</v>
      </c>
      <c r="H11" s="10" t="s">
        <v>31</v>
      </c>
      <c r="I11" s="10" t="s">
        <v>65</v>
      </c>
      <c r="J11" s="12" t="s">
        <v>68</v>
      </c>
      <c r="M11" t="s">
        <v>32</v>
      </c>
      <c r="N11" t="s">
        <v>32</v>
      </c>
      <c r="Q11" t="s">
        <v>33</v>
      </c>
      <c r="R11" t="s">
        <v>34</v>
      </c>
      <c r="W11" t="s">
        <v>35</v>
      </c>
    </row>
    <row r="12" spans="2:12" s="20" customFormat="1" ht="12.75">
      <c r="B12" s="25">
        <f>1000/C12</f>
        <v>5.9880239520958085</v>
      </c>
      <c r="C12" s="20">
        <v>167</v>
      </c>
      <c r="D12" s="22"/>
      <c r="E12" s="22"/>
      <c r="F12" s="22"/>
      <c r="G12" s="37">
        <v>0.0016663</v>
      </c>
      <c r="H12" s="21"/>
      <c r="I12" s="25">
        <f>LN(G12)</f>
        <v>-6.397149679419696</v>
      </c>
      <c r="J12" s="37">
        <v>0.000720431450139732</v>
      </c>
      <c r="K12" s="21">
        <f aca="true" t="shared" si="0" ref="K12:K50">LN(J12)</f>
        <v>-7.235660289119371</v>
      </c>
      <c r="L12" s="21"/>
    </row>
    <row r="13" spans="2:12" s="24" customFormat="1" ht="12.75">
      <c r="B13" s="25">
        <f aca="true" t="shared" si="1" ref="B13:B50">1000/C13</f>
        <v>5.555555555555555</v>
      </c>
      <c r="C13" s="24">
        <v>180</v>
      </c>
      <c r="D13" s="26"/>
      <c r="E13" s="26"/>
      <c r="F13" s="26"/>
      <c r="G13" s="28">
        <v>0.0050306</v>
      </c>
      <c r="H13" s="25"/>
      <c r="I13" s="25">
        <f>LN(G13)</f>
        <v>-5.292216017690061</v>
      </c>
      <c r="J13" s="28">
        <v>0.00245992614980967</v>
      </c>
      <c r="K13" s="21">
        <f t="shared" si="0"/>
        <v>-6.00762394989106</v>
      </c>
      <c r="L13" s="25"/>
    </row>
    <row r="14" spans="2:12" s="24" customFormat="1" ht="12.75">
      <c r="B14" s="25">
        <f t="shared" si="1"/>
        <v>5</v>
      </c>
      <c r="C14" s="24">
        <v>200</v>
      </c>
      <c r="D14" s="26"/>
      <c r="E14" s="26"/>
      <c r="F14" s="26"/>
      <c r="G14" s="28">
        <v>0.020078</v>
      </c>
      <c r="H14" s="25"/>
      <c r="I14" s="25">
        <f>LN(G14)</f>
        <v>-3.908130590712802</v>
      </c>
      <c r="J14" s="28">
        <v>0.0113382474191355</v>
      </c>
      <c r="K14" s="21">
        <f t="shared" si="0"/>
        <v>-4.47957354120351</v>
      </c>
      <c r="L14" s="25"/>
    </row>
    <row r="15" spans="1:23" s="24" customFormat="1" ht="12.75">
      <c r="A15" s="24" t="s">
        <v>29</v>
      </c>
      <c r="B15" s="25">
        <f t="shared" si="1"/>
        <v>4.608294930875576</v>
      </c>
      <c r="C15" s="24">
        <v>217</v>
      </c>
      <c r="D15" s="26">
        <v>79.6</v>
      </c>
      <c r="E15" s="26">
        <v>51.945</v>
      </c>
      <c r="F15" s="26">
        <f>D15*0.001</f>
        <v>0.07959999999999999</v>
      </c>
      <c r="G15" s="26">
        <f>E15*0.001</f>
        <v>0.051945</v>
      </c>
      <c r="H15" s="25">
        <f>LN(F15)</f>
        <v>-2.5307411861317997</v>
      </c>
      <c r="I15" s="25">
        <f>LN(G15)</f>
        <v>-2.957569812459642</v>
      </c>
      <c r="J15" s="28">
        <v>0.0321241116954423</v>
      </c>
      <c r="K15" s="21">
        <f t="shared" si="0"/>
        <v>-3.438148387652805</v>
      </c>
      <c r="L15" s="25"/>
      <c r="M15" s="24">
        <v>0.5981</v>
      </c>
      <c r="N15" s="24">
        <v>0.599</v>
      </c>
      <c r="Q15" s="27">
        <f aca="true" t="shared" si="2" ref="Q15:Q49">(D15-E15)/E15*100</f>
        <v>53.23900279141398</v>
      </c>
      <c r="R15" s="27">
        <f aca="true" t="shared" si="3" ref="R15:R49">(M15-N15)/N15*100</f>
        <v>-0.15025041736227246</v>
      </c>
      <c r="S15" s="27">
        <f>ABS(R15)</f>
        <v>0.15025041736227246</v>
      </c>
      <c r="V15" s="24">
        <f>W15*1000</f>
        <v>51.945</v>
      </c>
      <c r="W15" s="24">
        <f>E15/1000</f>
        <v>0.051945</v>
      </c>
    </row>
    <row r="16" spans="1:23" s="24" customFormat="1" ht="12.75">
      <c r="A16" s="24">
        <v>3</v>
      </c>
      <c r="B16" s="25">
        <f t="shared" si="1"/>
        <v>4.016064257028113</v>
      </c>
      <c r="C16" s="24">
        <v>249</v>
      </c>
      <c r="D16" s="26">
        <v>276.1</v>
      </c>
      <c r="E16" s="26">
        <v>209.95</v>
      </c>
      <c r="F16" s="26">
        <f aca="true" t="shared" si="4" ref="F16:F50">D16*0.001</f>
        <v>0.2761</v>
      </c>
      <c r="G16" s="26">
        <f aca="true" t="shared" si="5" ref="G16:G50">E16*0.001</f>
        <v>0.20995</v>
      </c>
      <c r="H16" s="25">
        <f aca="true" t="shared" si="6" ref="H16:H50">LN(F16)</f>
        <v>-1.2869921600460283</v>
      </c>
      <c r="I16" s="25">
        <f aca="true" t="shared" si="7" ref="I16:I50">LN(G16)</f>
        <v>-1.5608858718519347</v>
      </c>
      <c r="J16" s="26">
        <v>0.146303796011636</v>
      </c>
      <c r="K16" s="21">
        <f t="shared" si="0"/>
        <v>-1.9220700245282405</v>
      </c>
      <c r="L16" s="25"/>
      <c r="M16" s="24">
        <v>0.56</v>
      </c>
      <c r="N16" s="24">
        <v>0.5605</v>
      </c>
      <c r="Q16" s="27">
        <f t="shared" si="2"/>
        <v>31.507501786139574</v>
      </c>
      <c r="R16" s="27">
        <f t="shared" si="3"/>
        <v>-0.08920606601247903</v>
      </c>
      <c r="S16" s="27">
        <f aca="true" t="shared" si="8" ref="S16:S50">ABS(R16)</f>
        <v>0.08920606601247903</v>
      </c>
      <c r="W16" s="24">
        <f>E16/1000</f>
        <v>0.20995</v>
      </c>
    </row>
    <row r="17" spans="1:23" s="24" customFormat="1" ht="12.75">
      <c r="A17" s="24">
        <f>C12/369</f>
        <v>0.45257452574525747</v>
      </c>
      <c r="B17" s="25">
        <f t="shared" si="1"/>
        <v>3.5587188612099645</v>
      </c>
      <c r="C17" s="24">
        <v>281</v>
      </c>
      <c r="D17" s="26">
        <v>798.42</v>
      </c>
      <c r="E17" s="28">
        <v>599.4</v>
      </c>
      <c r="F17" s="26">
        <f t="shared" si="4"/>
        <v>0.79842</v>
      </c>
      <c r="G17" s="26">
        <f t="shared" si="5"/>
        <v>0.5994</v>
      </c>
      <c r="H17" s="25">
        <f t="shared" si="6"/>
        <v>-0.22512050419843094</v>
      </c>
      <c r="I17" s="25">
        <f t="shared" si="7"/>
        <v>-0.5118261240995742</v>
      </c>
      <c r="J17" s="26">
        <v>0.4506054209914</v>
      </c>
      <c r="K17" s="21">
        <f t="shared" si="0"/>
        <v>-0.7971632204496136</v>
      </c>
      <c r="L17" s="25"/>
      <c r="M17" s="24">
        <v>0.5172</v>
      </c>
      <c r="N17" s="24">
        <v>0.5172</v>
      </c>
      <c r="Q17" s="27">
        <f t="shared" si="2"/>
        <v>33.2032032032032</v>
      </c>
      <c r="R17" s="27">
        <f t="shared" si="3"/>
        <v>0</v>
      </c>
      <c r="S17" s="27">
        <f t="shared" si="8"/>
        <v>0</v>
      </c>
      <c r="W17" s="24">
        <f>E17/1000</f>
        <v>0.5993999999999999</v>
      </c>
    </row>
    <row r="18" spans="2:23" s="24" customFormat="1" ht="12.75">
      <c r="B18" s="25">
        <f t="shared" si="1"/>
        <v>3.2051282051282053</v>
      </c>
      <c r="C18" s="24">
        <v>312</v>
      </c>
      <c r="D18" s="26">
        <v>1519.78</v>
      </c>
      <c r="E18" s="28">
        <v>1335</v>
      </c>
      <c r="F18" s="26">
        <f t="shared" si="4"/>
        <v>1.51978</v>
      </c>
      <c r="G18" s="26">
        <f t="shared" si="5"/>
        <v>1.335</v>
      </c>
      <c r="H18" s="25">
        <f t="shared" si="6"/>
        <v>0.4185655875406922</v>
      </c>
      <c r="I18" s="25">
        <f t="shared" si="7"/>
        <v>0.28893129185221283</v>
      </c>
      <c r="J18" s="26">
        <v>1.05128085269452</v>
      </c>
      <c r="K18" s="21">
        <f t="shared" si="0"/>
        <v>0.0500092804541647</v>
      </c>
      <c r="L18" s="25"/>
      <c r="M18" s="24">
        <v>0.4673</v>
      </c>
      <c r="N18" s="24">
        <v>0.4677</v>
      </c>
      <c r="Q18" s="27">
        <f t="shared" si="2"/>
        <v>13.841198501872656</v>
      </c>
      <c r="R18" s="27">
        <f t="shared" si="3"/>
        <v>-0.0855249091297865</v>
      </c>
      <c r="S18" s="27">
        <f t="shared" si="8"/>
        <v>0.0855249091297865</v>
      </c>
      <c r="W18" s="24">
        <f>E18/1000</f>
        <v>1.335</v>
      </c>
    </row>
    <row r="19" spans="2:23" s="29" customFormat="1" ht="12.75">
      <c r="B19" s="25">
        <f t="shared" si="1"/>
        <v>2.9069767441860463</v>
      </c>
      <c r="C19" s="29">
        <v>344</v>
      </c>
      <c r="D19" s="31">
        <v>2925.1</v>
      </c>
      <c r="E19" s="32">
        <v>2630</v>
      </c>
      <c r="F19" s="31">
        <f t="shared" si="4"/>
        <v>2.9251</v>
      </c>
      <c r="G19" s="31">
        <f t="shared" si="5"/>
        <v>2.63</v>
      </c>
      <c r="H19" s="30">
        <f t="shared" si="6"/>
        <v>1.0733286681336103</v>
      </c>
      <c r="I19" s="30">
        <f t="shared" si="7"/>
        <v>0.9669838461896731</v>
      </c>
      <c r="J19" s="26">
        <v>2.1266031081325</v>
      </c>
      <c r="K19" s="21">
        <f t="shared" si="0"/>
        <v>0.7545259217839076</v>
      </c>
      <c r="L19" s="25"/>
      <c r="M19" s="29">
        <v>0.3968</v>
      </c>
      <c r="N19" s="29">
        <v>0.3993</v>
      </c>
      <c r="Q19" s="33">
        <f t="shared" si="2"/>
        <v>11.220532319391632</v>
      </c>
      <c r="R19" s="33">
        <f t="shared" si="3"/>
        <v>-0.6260956674179821</v>
      </c>
      <c r="S19" s="33">
        <f t="shared" si="8"/>
        <v>0.6260956674179821</v>
      </c>
      <c r="W19" s="29">
        <f>E19/1000</f>
        <v>2.63</v>
      </c>
    </row>
    <row r="20" spans="2:19" s="24" customFormat="1" ht="12.75">
      <c r="B20" s="25">
        <f t="shared" si="1"/>
        <v>5.128205128205129</v>
      </c>
      <c r="C20" s="51">
        <v>195</v>
      </c>
      <c r="D20" s="26"/>
      <c r="E20" s="28"/>
      <c r="F20" s="26"/>
      <c r="G20" s="28">
        <v>0.0013043</v>
      </c>
      <c r="H20" s="25"/>
      <c r="I20" s="30">
        <f>LN(G20)</f>
        <v>-6.642088780588037</v>
      </c>
      <c r="J20" s="28">
        <v>0.000990945619027378</v>
      </c>
      <c r="K20" s="21">
        <f t="shared" si="0"/>
        <v>-6.916850899986204</v>
      </c>
      <c r="L20" s="25"/>
      <c r="Q20" s="27"/>
      <c r="R20" s="27"/>
      <c r="S20" s="27"/>
    </row>
    <row r="21" spans="2:19" s="24" customFormat="1" ht="12.75">
      <c r="B21" s="25">
        <f t="shared" si="1"/>
        <v>4.761904761904762</v>
      </c>
      <c r="C21" s="51">
        <v>210</v>
      </c>
      <c r="D21" s="26"/>
      <c r="E21" s="28"/>
      <c r="F21" s="26"/>
      <c r="G21" s="28">
        <v>0.0040518</v>
      </c>
      <c r="H21" s="25"/>
      <c r="I21" s="25">
        <f t="shared" si="7"/>
        <v>-5.508594052155423</v>
      </c>
      <c r="J21" s="28">
        <v>0.00324656751387697</v>
      </c>
      <c r="K21" s="21">
        <f t="shared" si="0"/>
        <v>-5.730156990335778</v>
      </c>
      <c r="L21" s="25"/>
      <c r="Q21" s="27"/>
      <c r="R21" s="27"/>
      <c r="S21" s="27"/>
    </row>
    <row r="22" spans="2:19" s="24" customFormat="1" ht="12.75">
      <c r="B22" s="25">
        <f t="shared" si="1"/>
        <v>4.3478260869565215</v>
      </c>
      <c r="C22" s="51">
        <v>230</v>
      </c>
      <c r="D22" s="26"/>
      <c r="E22" s="28"/>
      <c r="F22" s="26"/>
      <c r="G22" s="28">
        <v>0.014127</v>
      </c>
      <c r="H22" s="25"/>
      <c r="I22" s="25">
        <f t="shared" si="7"/>
        <v>-4.25966741905261</v>
      </c>
      <c r="J22" s="28">
        <v>0.0119243453002966</v>
      </c>
      <c r="K22" s="21">
        <f t="shared" si="0"/>
        <v>-4.429173145157504</v>
      </c>
      <c r="L22" s="25"/>
      <c r="Q22" s="27"/>
      <c r="R22" s="27"/>
      <c r="S22" s="27"/>
    </row>
    <row r="23" spans="1:23" s="24" customFormat="1" ht="12.75">
      <c r="A23" s="24" t="s">
        <v>51</v>
      </c>
      <c r="B23" s="25">
        <f t="shared" si="1"/>
        <v>3.816793893129771</v>
      </c>
      <c r="C23" s="24">
        <v>262</v>
      </c>
      <c r="D23" s="26">
        <v>109.21</v>
      </c>
      <c r="E23" s="26">
        <f>EXP($P$23+$P$24/C23+$P$25*LN(C23)+$P$26*C23^$P$27)/1000</f>
        <v>66.42023889090306</v>
      </c>
      <c r="F23" s="26">
        <f t="shared" si="4"/>
        <v>0.10921</v>
      </c>
      <c r="G23" s="26">
        <f t="shared" si="5"/>
        <v>0.06642023889090307</v>
      </c>
      <c r="H23" s="25">
        <f t="shared" si="6"/>
        <v>-2.2144826447725</v>
      </c>
      <c r="I23" s="25">
        <f t="shared" si="7"/>
        <v>-2.711753466368775</v>
      </c>
      <c r="J23" s="28">
        <v>0.0591362712833272</v>
      </c>
      <c r="K23" s="21">
        <f t="shared" si="0"/>
        <v>-2.827910815525402</v>
      </c>
      <c r="L23" s="25"/>
      <c r="M23" s="24">
        <v>0.6132</v>
      </c>
      <c r="N23" s="24">
        <f>$O$23/$O$24^(1+(1-C23/$O$25)^$O$26)*$O$27/1000</f>
        <v>0.6139486094941718</v>
      </c>
      <c r="O23" s="24">
        <v>1.0677</v>
      </c>
      <c r="P23" s="24">
        <v>66.343</v>
      </c>
      <c r="Q23" s="27">
        <f t="shared" si="2"/>
        <v>64.42277508122216</v>
      </c>
      <c r="R23" s="27">
        <f t="shared" si="3"/>
        <v>-0.1219335759696004</v>
      </c>
      <c r="S23" s="27">
        <f t="shared" si="8"/>
        <v>0.1219335759696004</v>
      </c>
      <c r="W23" s="24">
        <f aca="true" t="shared" si="9" ref="W23:W35">M23/1000</f>
        <v>0.0006131999999999999</v>
      </c>
    </row>
    <row r="24" spans="1:23" s="24" customFormat="1" ht="12.75">
      <c r="A24" s="24">
        <v>5</v>
      </c>
      <c r="B24" s="25">
        <f t="shared" si="1"/>
        <v>3.389830508474576</v>
      </c>
      <c r="C24" s="24">
        <v>295</v>
      </c>
      <c r="D24" s="26">
        <v>285.28</v>
      </c>
      <c r="E24" s="26">
        <f>EXP($P$23+$P$24/C24+$P$25*LN(C24)+$P$26*C24^$P$27)/1000</f>
        <v>220.69296969328937</v>
      </c>
      <c r="F24" s="26">
        <f t="shared" si="4"/>
        <v>0.28528</v>
      </c>
      <c r="G24" s="26">
        <f t="shared" si="5"/>
        <v>0.2206929696932894</v>
      </c>
      <c r="H24" s="25">
        <f t="shared" si="6"/>
        <v>-1.254284124867307</v>
      </c>
      <c r="I24" s="25">
        <f t="shared" si="7"/>
        <v>-1.5109828208109133</v>
      </c>
      <c r="J24" s="26">
        <v>0.202695564438047</v>
      </c>
      <c r="K24" s="21">
        <f t="shared" si="0"/>
        <v>-1.596050108161006</v>
      </c>
      <c r="L24" s="25"/>
      <c r="M24" s="34">
        <v>0.5762</v>
      </c>
      <c r="N24" s="24">
        <f>$O$23/$O$24^(1+(1-C24/$O$25)^$O$26)*$O$27/1000</f>
        <v>0.5769682544792127</v>
      </c>
      <c r="O24" s="24">
        <v>0.27188</v>
      </c>
      <c r="P24" s="24">
        <v>-4363.2</v>
      </c>
      <c r="Q24" s="27">
        <f t="shared" si="2"/>
        <v>29.265558570565787</v>
      </c>
      <c r="R24" s="27">
        <f t="shared" si="3"/>
        <v>-0.1331536827630388</v>
      </c>
      <c r="S24" s="27">
        <f t="shared" si="8"/>
        <v>0.1331536827630388</v>
      </c>
      <c r="W24" s="24">
        <f t="shared" si="9"/>
        <v>0.0005762</v>
      </c>
    </row>
    <row r="25" spans="1:23" s="24" customFormat="1" ht="12.75">
      <c r="A25" s="24">
        <f>C20/425</f>
        <v>0.4588235294117647</v>
      </c>
      <c r="B25" s="25">
        <f t="shared" si="1"/>
        <v>3.058103975535168</v>
      </c>
      <c r="C25" s="24">
        <v>327</v>
      </c>
      <c r="D25" s="26">
        <v>754.101</v>
      </c>
      <c r="E25" s="26">
        <f>EXP($P$23+$P$24/C25+$P$25*LN(C25)+$P$26*C25^$P$27)/1000</f>
        <v>548.2006540315443</v>
      </c>
      <c r="F25" s="26">
        <f t="shared" si="4"/>
        <v>0.754101</v>
      </c>
      <c r="G25" s="26">
        <f t="shared" si="5"/>
        <v>0.5482006540315444</v>
      </c>
      <c r="H25" s="25">
        <f t="shared" si="6"/>
        <v>-0.2822289676903412</v>
      </c>
      <c r="I25" s="25">
        <f t="shared" si="7"/>
        <v>-0.6011139020613644</v>
      </c>
      <c r="J25" s="26">
        <v>0.511474506583664</v>
      </c>
      <c r="K25" s="21">
        <f t="shared" si="0"/>
        <v>-0.6704575353336806</v>
      </c>
      <c r="L25" s="25"/>
      <c r="M25" s="34">
        <v>0.5362</v>
      </c>
      <c r="N25" s="24">
        <f>$O$23/$O$24^(1+(1-C25/$O$25)^$O$26)*$O$27/1000</f>
        <v>0.5368155917539145</v>
      </c>
      <c r="O25" s="24">
        <v>425.12</v>
      </c>
      <c r="P25" s="24">
        <v>-7.046</v>
      </c>
      <c r="Q25" s="27">
        <f t="shared" si="2"/>
        <v>37.5593032321716</v>
      </c>
      <c r="R25" s="27">
        <f t="shared" si="3"/>
        <v>-0.11467471574422063</v>
      </c>
      <c r="S25" s="27">
        <f t="shared" si="8"/>
        <v>0.11467471574422063</v>
      </c>
      <c r="W25" s="24">
        <f t="shared" si="9"/>
        <v>0.0005362</v>
      </c>
    </row>
    <row r="26" spans="2:23" s="24" customFormat="1" ht="12.75">
      <c r="B26" s="25">
        <f t="shared" si="1"/>
        <v>2.7777777777777777</v>
      </c>
      <c r="C26" s="24">
        <v>360</v>
      </c>
      <c r="D26" s="26">
        <v>1478.177</v>
      </c>
      <c r="E26" s="26">
        <f>EXP($P$23+$P$24/C26+$P$25*LN(C26)+$P$26*C26^$P$27)/1000</f>
        <v>1172.1469607649735</v>
      </c>
      <c r="F26" s="26">
        <f t="shared" si="4"/>
        <v>1.4781769999999999</v>
      </c>
      <c r="G26" s="26">
        <f t="shared" si="5"/>
        <v>1.1721469607649735</v>
      </c>
      <c r="H26" s="25">
        <f t="shared" si="6"/>
        <v>0.39080957178338627</v>
      </c>
      <c r="I26" s="25">
        <f t="shared" si="7"/>
        <v>0.15883707643793304</v>
      </c>
      <c r="J26" s="26">
        <v>1.09913130800161</v>
      </c>
      <c r="K26" s="21">
        <f t="shared" si="0"/>
        <v>0.09452014781268157</v>
      </c>
      <c r="L26" s="25"/>
      <c r="M26" s="34">
        <v>0.4863</v>
      </c>
      <c r="N26" s="24">
        <f>$O$23/$O$24^(1+(1-C26/$O$25)^$O$26)*$O$27/1000</f>
        <v>0.48821894051681003</v>
      </c>
      <c r="O26" s="24">
        <v>0.28688</v>
      </c>
      <c r="P26" s="24">
        <v>9.4509E-06</v>
      </c>
      <c r="Q26" s="27">
        <f t="shared" si="2"/>
        <v>26.108504264286385</v>
      </c>
      <c r="R26" s="27">
        <f t="shared" si="3"/>
        <v>-0.39304917477775475</v>
      </c>
      <c r="S26" s="27">
        <f t="shared" si="8"/>
        <v>0.39304917477775475</v>
      </c>
      <c r="W26" s="24">
        <f t="shared" si="9"/>
        <v>0.0004863</v>
      </c>
    </row>
    <row r="27" spans="2:23" s="24" customFormat="1" ht="12.75">
      <c r="B27" s="25">
        <f t="shared" si="1"/>
        <v>2.5510204081632653</v>
      </c>
      <c r="C27" s="24">
        <v>392</v>
      </c>
      <c r="D27" s="26">
        <v>2560.129</v>
      </c>
      <c r="E27" s="26">
        <f>EXP($P$23+$P$24/C27+$P$25*LN(C27)+$P$26*C27^$P$27)/1000</f>
        <v>2171.9586661526964</v>
      </c>
      <c r="F27" s="26">
        <f t="shared" si="4"/>
        <v>2.560129</v>
      </c>
      <c r="G27" s="26">
        <f t="shared" si="5"/>
        <v>2.1719586661526966</v>
      </c>
      <c r="H27" s="25">
        <f t="shared" si="6"/>
        <v>0.9400576478469062</v>
      </c>
      <c r="I27" s="25">
        <f t="shared" si="7"/>
        <v>0.7756293715741722</v>
      </c>
      <c r="J27" s="26">
        <v>2.02596994652442</v>
      </c>
      <c r="K27" s="21">
        <f t="shared" si="0"/>
        <v>0.706048571819341</v>
      </c>
      <c r="L27" s="25"/>
      <c r="M27" s="34">
        <v>0.4278</v>
      </c>
      <c r="N27" s="24">
        <f>$O$23/$O$24^(1+(1-C27/$O$25)^$O$26)*$O$27/1000</f>
        <v>0.42697042390764856</v>
      </c>
      <c r="O27" s="24">
        <v>58.1222</v>
      </c>
      <c r="P27" s="24">
        <v>2</v>
      </c>
      <c r="Q27" s="27">
        <f t="shared" si="2"/>
        <v>17.871902439786748</v>
      </c>
      <c r="R27" s="27">
        <f t="shared" si="3"/>
        <v>0.19429357302062011</v>
      </c>
      <c r="S27" s="27">
        <f t="shared" si="8"/>
        <v>0.19429357302062011</v>
      </c>
      <c r="W27" s="24">
        <f t="shared" si="9"/>
        <v>0.0004278</v>
      </c>
    </row>
    <row r="28" spans="2:19" s="20" customFormat="1" ht="12.75">
      <c r="B28" s="25">
        <f t="shared" si="1"/>
        <v>4.651162790697675</v>
      </c>
      <c r="C28" s="20">
        <v>215</v>
      </c>
      <c r="D28" s="22"/>
      <c r="E28" s="22"/>
      <c r="F28" s="22"/>
      <c r="G28" s="37">
        <v>0.00071864</v>
      </c>
      <c r="H28" s="21"/>
      <c r="I28" s="25">
        <f t="shared" si="7"/>
        <v>-7.238150021043323</v>
      </c>
      <c r="J28" s="37">
        <v>0.000740087955574785</v>
      </c>
      <c r="K28" s="21">
        <f t="shared" si="0"/>
        <v>-7.208741519944372</v>
      </c>
      <c r="L28" s="21"/>
      <c r="M28" s="36"/>
      <c r="Q28" s="23"/>
      <c r="R28" s="23"/>
      <c r="S28" s="23"/>
    </row>
    <row r="29" spans="2:19" s="24" customFormat="1" ht="12.75">
      <c r="B29" s="25">
        <f t="shared" si="1"/>
        <v>4.3478260869565215</v>
      </c>
      <c r="C29" s="51">
        <v>230</v>
      </c>
      <c r="D29" s="26"/>
      <c r="E29" s="26"/>
      <c r="F29" s="26"/>
      <c r="G29" s="28">
        <v>0.0021876</v>
      </c>
      <c r="H29" s="25"/>
      <c r="I29" s="25">
        <f t="shared" si="7"/>
        <v>-6.124950226491657</v>
      </c>
      <c r="J29" s="28">
        <v>0.00225909668325517</v>
      </c>
      <c r="K29" s="21">
        <f t="shared" si="0"/>
        <v>-6.092790243273053</v>
      </c>
      <c r="L29" s="25"/>
      <c r="M29" s="34"/>
      <c r="Q29" s="27"/>
      <c r="R29" s="27"/>
      <c r="S29" s="27"/>
    </row>
    <row r="30" spans="2:19" s="24" customFormat="1" ht="12.75">
      <c r="B30" s="25">
        <f t="shared" si="1"/>
        <v>3.7037037037037037</v>
      </c>
      <c r="C30" s="51">
        <v>270</v>
      </c>
      <c r="D30" s="26"/>
      <c r="E30" s="26"/>
      <c r="F30" s="26"/>
      <c r="G30" s="28">
        <v>0.021145</v>
      </c>
      <c r="H30" s="25"/>
      <c r="I30" s="25">
        <f t="shared" si="7"/>
        <v>-3.8563518080576853</v>
      </c>
      <c r="J30" s="28">
        <v>0.0218580392255069</v>
      </c>
      <c r="K30" s="21">
        <f t="shared" si="0"/>
        <v>-3.8231864971686056</v>
      </c>
      <c r="L30" s="25"/>
      <c r="M30" s="34"/>
      <c r="Q30" s="27"/>
      <c r="R30" s="27"/>
      <c r="S30" s="27"/>
    </row>
    <row r="31" spans="1:23" s="24" customFormat="1" ht="12.75">
      <c r="A31" s="24" t="s">
        <v>52</v>
      </c>
      <c r="B31" s="25">
        <f t="shared" si="1"/>
        <v>3.3557046979865772</v>
      </c>
      <c r="C31" s="24">
        <v>298</v>
      </c>
      <c r="D31" s="26">
        <v>105.4</v>
      </c>
      <c r="E31" s="26">
        <f>EXP($P$31+$P$32/C31+$P$33*LN(C31)+$P$34*C31^$P$35)/1000</f>
        <v>68.01963057663046</v>
      </c>
      <c r="F31" s="26">
        <f t="shared" si="4"/>
        <v>0.10540000000000001</v>
      </c>
      <c r="G31" s="26">
        <f t="shared" si="5"/>
        <v>0.06801963057663046</v>
      </c>
      <c r="H31" s="25">
        <f t="shared" si="6"/>
        <v>-2.249992642874875</v>
      </c>
      <c r="I31" s="25">
        <f t="shared" si="7"/>
        <v>-2.687958930517065</v>
      </c>
      <c r="J31" s="28">
        <v>0.0701066693952225</v>
      </c>
      <c r="K31" s="21">
        <f t="shared" si="0"/>
        <v>-2.6577373483085593</v>
      </c>
      <c r="L31" s="25"/>
      <c r="M31" s="34">
        <v>0.6231</v>
      </c>
      <c r="N31" s="24">
        <f>$O$31/$O$32^(1+(1-C31/$O$33)^$O$34)*$O$35/1000</f>
        <v>0.6045086539465944</v>
      </c>
      <c r="O31" s="24">
        <v>0.84947</v>
      </c>
      <c r="P31" s="24">
        <v>78.741</v>
      </c>
      <c r="Q31" s="27">
        <f t="shared" si="2"/>
        <v>54.95526674649764</v>
      </c>
      <c r="R31" s="27">
        <f t="shared" si="3"/>
        <v>3.075447461674897</v>
      </c>
      <c r="S31" s="27">
        <f t="shared" si="8"/>
        <v>3.075447461674897</v>
      </c>
      <c r="W31" s="24">
        <f t="shared" si="9"/>
        <v>0.0006231</v>
      </c>
    </row>
    <row r="32" spans="1:23" s="24" customFormat="1" ht="12.75">
      <c r="A32" s="24">
        <v>7</v>
      </c>
      <c r="B32" s="25">
        <f t="shared" si="1"/>
        <v>2.9761904761904763</v>
      </c>
      <c r="C32" s="24">
        <v>336</v>
      </c>
      <c r="D32" s="26">
        <v>338.15</v>
      </c>
      <c r="E32" s="26">
        <f>EXP($P$31+$P$32/C32+$P$33*LN(C32)+$P$34*C32^$P$35)/1000</f>
        <v>232.61401327298657</v>
      </c>
      <c r="F32" s="26">
        <f t="shared" si="4"/>
        <v>0.33815</v>
      </c>
      <c r="G32" s="26">
        <f t="shared" si="5"/>
        <v>0.2326140132729866</v>
      </c>
      <c r="H32" s="25">
        <f t="shared" si="6"/>
        <v>-1.0842656949611882</v>
      </c>
      <c r="I32" s="25">
        <f t="shared" si="7"/>
        <v>-1.4583747944827832</v>
      </c>
      <c r="J32" s="26">
        <v>0.237958709989696</v>
      </c>
      <c r="K32" s="21">
        <f t="shared" si="0"/>
        <v>-1.435658107799601</v>
      </c>
      <c r="L32" s="25"/>
      <c r="M32" s="34">
        <v>0.5842</v>
      </c>
      <c r="N32" s="24">
        <f>$O$31/$O$32^(1+(1-C32/$O$33)^$O$34)*$O$35/1000</f>
        <v>0.5653370647149593</v>
      </c>
      <c r="O32" s="24">
        <v>0.26726</v>
      </c>
      <c r="P32" s="24">
        <v>-5420.3</v>
      </c>
      <c r="Q32" s="27">
        <f t="shared" si="2"/>
        <v>45.36957393154151</v>
      </c>
      <c r="R32" s="27">
        <f t="shared" si="3"/>
        <v>3.3365820963023913</v>
      </c>
      <c r="S32" s="27">
        <f t="shared" si="8"/>
        <v>3.3365820963023913</v>
      </c>
      <c r="W32" s="24">
        <f t="shared" si="9"/>
        <v>0.0005842000000000001</v>
      </c>
    </row>
    <row r="33" spans="2:23" s="24" customFormat="1" ht="12.75">
      <c r="B33" s="25">
        <f t="shared" si="1"/>
        <v>2.6881720430107525</v>
      </c>
      <c r="C33" s="24">
        <v>372</v>
      </c>
      <c r="D33" s="26">
        <v>701.38</v>
      </c>
      <c r="E33" s="26">
        <f>EXP($P$31+$P$32/C33+$P$33*LN(C33)+$P$34*C33^$P$35)/1000</f>
        <v>576.7360044751715</v>
      </c>
      <c r="F33" s="26">
        <f t="shared" si="4"/>
        <v>0.70138</v>
      </c>
      <c r="G33" s="26">
        <f t="shared" si="5"/>
        <v>0.5767360044751715</v>
      </c>
      <c r="H33" s="25">
        <f t="shared" si="6"/>
        <v>-0.3547054560823744</v>
      </c>
      <c r="I33" s="25">
        <f t="shared" si="7"/>
        <v>-0.5503706484122624</v>
      </c>
      <c r="J33" s="26">
        <v>0.583316096665378</v>
      </c>
      <c r="K33" s="21">
        <f t="shared" si="0"/>
        <v>-0.5390260497428925</v>
      </c>
      <c r="L33" s="25"/>
      <c r="M33" s="34">
        <v>0.539</v>
      </c>
      <c r="N33" s="24">
        <f>$O$31/$O$32^(1+(1-C33/$O$33)^$O$34)*$O$35/1000</f>
        <v>0.5230783415304981</v>
      </c>
      <c r="O33" s="24">
        <v>469.7</v>
      </c>
      <c r="P33" s="24">
        <v>-8.8253</v>
      </c>
      <c r="Q33" s="27">
        <f t="shared" si="2"/>
        <v>21.61196709719107</v>
      </c>
      <c r="R33" s="27">
        <f t="shared" si="3"/>
        <v>3.0438382179839447</v>
      </c>
      <c r="S33" s="27">
        <f t="shared" si="8"/>
        <v>3.0438382179839447</v>
      </c>
      <c r="W33" s="24">
        <f t="shared" si="9"/>
        <v>0.000539</v>
      </c>
    </row>
    <row r="34" spans="1:23" s="24" customFormat="1" ht="12.75">
      <c r="A34" s="24">
        <f>C28/469</f>
        <v>0.4584221748400853</v>
      </c>
      <c r="B34" s="25">
        <f t="shared" si="1"/>
        <v>2.487562189054726</v>
      </c>
      <c r="C34" s="24">
        <v>402</v>
      </c>
      <c r="D34" s="26">
        <v>1407.35</v>
      </c>
      <c r="E34" s="26">
        <f>EXP($P$31+$P$32/C34+$P$33*LN(C34)+$P$34*C34^$P$35)/1000</f>
        <v>1078.7784319069124</v>
      </c>
      <c r="F34" s="26">
        <f t="shared" si="4"/>
        <v>1.4073499999999999</v>
      </c>
      <c r="G34" s="26">
        <f t="shared" si="5"/>
        <v>1.0787784319069125</v>
      </c>
      <c r="H34" s="25">
        <f t="shared" si="6"/>
        <v>0.3417085034164592</v>
      </c>
      <c r="I34" s="25">
        <f t="shared" si="7"/>
        <v>0.07582931941294073</v>
      </c>
      <c r="J34" s="26">
        <v>1.07584497681775</v>
      </c>
      <c r="K34" s="21">
        <f t="shared" si="0"/>
        <v>0.07310637777054449</v>
      </c>
      <c r="L34" s="25"/>
      <c r="M34" s="34">
        <v>0.5003</v>
      </c>
      <c r="N34" s="24">
        <f>$O$31/$O$32^(1+(1-C34/$O$33)^$O$34)*$O$35/1000</f>
        <v>0.48157962155829337</v>
      </c>
      <c r="O34" s="24">
        <v>0.27789</v>
      </c>
      <c r="P34" s="24">
        <v>9.6171E-06</v>
      </c>
      <c r="Q34" s="27">
        <f t="shared" si="2"/>
        <v>30.45774353425708</v>
      </c>
      <c r="R34" s="27">
        <f t="shared" si="3"/>
        <v>3.887286256243833</v>
      </c>
      <c r="S34" s="27">
        <f t="shared" si="8"/>
        <v>3.887286256243833</v>
      </c>
      <c r="W34" s="24">
        <f t="shared" si="9"/>
        <v>0.0005003</v>
      </c>
    </row>
    <row r="35" spans="2:23" s="29" customFormat="1" ht="12.75">
      <c r="B35" s="25">
        <f t="shared" si="1"/>
        <v>2.277904328018223</v>
      </c>
      <c r="C35" s="29">
        <v>439</v>
      </c>
      <c r="D35" s="31">
        <v>2306.58</v>
      </c>
      <c r="E35" s="31">
        <f>EXP($P$31+$P$32/C35+$P$33*LN(C35)+$P$34*C35^$P$35)/1000</f>
        <v>2084.333358030993</v>
      </c>
      <c r="F35" s="31">
        <f t="shared" si="4"/>
        <v>2.30658</v>
      </c>
      <c r="G35" s="31">
        <f t="shared" si="5"/>
        <v>2.0843333580309933</v>
      </c>
      <c r="H35" s="30">
        <f t="shared" si="6"/>
        <v>0.8357659080012784</v>
      </c>
      <c r="I35" s="25">
        <f t="shared" si="7"/>
        <v>0.7344490717662403</v>
      </c>
      <c r="J35" s="26">
        <v>2.02627051949515</v>
      </c>
      <c r="K35" s="21">
        <f t="shared" si="0"/>
        <v>0.7061969208493659</v>
      </c>
      <c r="L35" s="25"/>
      <c r="M35" s="35">
        <v>0.41813</v>
      </c>
      <c r="N35" s="29">
        <f>$O$31/$O$32^(1+(1-C35/$O$33)^$O$34)*$O$35/1000</f>
        <v>0.4136839591040288</v>
      </c>
      <c r="O35" s="29">
        <v>70.1333</v>
      </c>
      <c r="P35" s="29">
        <v>2</v>
      </c>
      <c r="Q35" s="33">
        <f t="shared" si="2"/>
        <v>10.662720582227617</v>
      </c>
      <c r="R35" s="33">
        <f t="shared" si="3"/>
        <v>1.0747433634121606</v>
      </c>
      <c r="S35" s="33">
        <f t="shared" si="8"/>
        <v>1.0747433634121606</v>
      </c>
      <c r="W35" s="29">
        <f t="shared" si="9"/>
        <v>0.00041813</v>
      </c>
    </row>
    <row r="36" spans="2:19" s="24" customFormat="1" ht="12.75">
      <c r="B36" s="25">
        <f t="shared" si="1"/>
        <v>3.8461538461538463</v>
      </c>
      <c r="C36" s="51">
        <v>260</v>
      </c>
      <c r="D36" s="26"/>
      <c r="E36" s="26"/>
      <c r="F36" s="26"/>
      <c r="G36" s="28">
        <v>0.00014839</v>
      </c>
      <c r="H36" s="25"/>
      <c r="I36" s="25">
        <f t="shared" si="7"/>
        <v>-8.815666614946238</v>
      </c>
      <c r="J36" s="28">
        <v>0.000211340838555167</v>
      </c>
      <c r="K36" s="21">
        <f t="shared" si="0"/>
        <v>-8.46203837915777</v>
      </c>
      <c r="L36" s="25"/>
      <c r="M36" s="34"/>
      <c r="Q36" s="27"/>
      <c r="R36" s="27"/>
      <c r="S36" s="27"/>
    </row>
    <row r="37" spans="2:19" s="24" customFormat="1" ht="12.75">
      <c r="B37" s="25">
        <f t="shared" si="1"/>
        <v>3.4482758620689653</v>
      </c>
      <c r="C37" s="51">
        <v>290</v>
      </c>
      <c r="D37" s="26"/>
      <c r="E37" s="26"/>
      <c r="F37" s="26"/>
      <c r="G37" s="28">
        <v>0.0011645</v>
      </c>
      <c r="H37" s="25"/>
      <c r="I37" s="25">
        <f t="shared" si="7"/>
        <v>-6.755463468639879</v>
      </c>
      <c r="J37" s="28">
        <v>0.00151833392248171</v>
      </c>
      <c r="K37" s="21">
        <f t="shared" si="0"/>
        <v>-6.49014164891532</v>
      </c>
      <c r="L37" s="25"/>
      <c r="M37" s="34"/>
      <c r="Q37" s="27"/>
      <c r="R37" s="27"/>
      <c r="S37" s="27"/>
    </row>
    <row r="38" spans="2:19" s="24" customFormat="1" ht="12.75">
      <c r="B38" s="25">
        <f t="shared" si="1"/>
        <v>2.9411764705882355</v>
      </c>
      <c r="C38" s="51">
        <v>340</v>
      </c>
      <c r="D38" s="26"/>
      <c r="E38" s="26"/>
      <c r="F38" s="26"/>
      <c r="G38" s="28">
        <v>0.013936</v>
      </c>
      <c r="H38" s="25"/>
      <c r="I38" s="25">
        <f t="shared" si="7"/>
        <v>-4.27327985887199</v>
      </c>
      <c r="J38" s="28">
        <v>0.0163439992705158</v>
      </c>
      <c r="K38" s="21">
        <f t="shared" si="0"/>
        <v>-4.113894466099967</v>
      </c>
      <c r="L38" s="25"/>
      <c r="M38" s="34"/>
      <c r="Q38" s="27"/>
      <c r="R38" s="27"/>
      <c r="S38" s="27"/>
    </row>
    <row r="39" spans="1:23" s="24" customFormat="1" ht="12.75">
      <c r="A39" s="24" t="s">
        <v>30</v>
      </c>
      <c r="B39" s="25">
        <f t="shared" si="1"/>
        <v>2.5641025641025643</v>
      </c>
      <c r="C39" s="24">
        <v>390</v>
      </c>
      <c r="D39" s="26">
        <v>110</v>
      </c>
      <c r="E39" s="28">
        <v>78.7</v>
      </c>
      <c r="F39" s="26">
        <f t="shared" si="4"/>
        <v>0.11</v>
      </c>
      <c r="G39" s="26">
        <f t="shared" si="5"/>
        <v>0.0787</v>
      </c>
      <c r="H39" s="25">
        <f t="shared" si="6"/>
        <v>-2.2072749131897207</v>
      </c>
      <c r="I39" s="25">
        <f t="shared" si="7"/>
        <v>-2.5421121235587796</v>
      </c>
      <c r="J39" s="28">
        <v>0.0855920783690671</v>
      </c>
      <c r="K39" s="21">
        <f t="shared" si="0"/>
        <v>-2.4581625425341946</v>
      </c>
      <c r="L39" s="25"/>
      <c r="M39" s="24">
        <v>0.6241</v>
      </c>
      <c r="N39" s="24">
        <v>0.6215</v>
      </c>
      <c r="Q39" s="27">
        <f t="shared" si="2"/>
        <v>39.77128335451079</v>
      </c>
      <c r="R39" s="27">
        <f t="shared" si="3"/>
        <v>0.4183427192276646</v>
      </c>
      <c r="S39" s="27">
        <f t="shared" si="8"/>
        <v>0.4183427192276646</v>
      </c>
      <c r="T39" s="39"/>
      <c r="U39" s="39"/>
      <c r="V39" s="39"/>
      <c r="W39" s="24">
        <f>E39/1000</f>
        <v>0.0787</v>
      </c>
    </row>
    <row r="40" spans="1:23" s="24" customFormat="1" ht="12.75">
      <c r="A40" s="24">
        <v>27</v>
      </c>
      <c r="B40" s="25">
        <f t="shared" si="1"/>
        <v>2.272727272727273</v>
      </c>
      <c r="C40" s="24">
        <v>440</v>
      </c>
      <c r="D40" s="26">
        <v>353.7</v>
      </c>
      <c r="E40" s="28">
        <v>281</v>
      </c>
      <c r="F40" s="26">
        <f t="shared" si="4"/>
        <v>0.3537</v>
      </c>
      <c r="G40" s="26">
        <f t="shared" si="5"/>
        <v>0.281</v>
      </c>
      <c r="H40" s="25">
        <f t="shared" si="6"/>
        <v>-1.039306182770702</v>
      </c>
      <c r="I40" s="25">
        <f t="shared" si="7"/>
        <v>-1.2694006096483912</v>
      </c>
      <c r="J40" s="26">
        <v>0.288015194275726</v>
      </c>
      <c r="K40" s="21">
        <f t="shared" si="0"/>
        <v>-1.2447420423360138</v>
      </c>
      <c r="L40" s="25"/>
      <c r="M40" s="24">
        <v>0.5741</v>
      </c>
      <c r="N40" s="24">
        <v>0.5695</v>
      </c>
      <c r="Q40" s="27">
        <f t="shared" si="2"/>
        <v>25.871886120996436</v>
      </c>
      <c r="R40" s="27">
        <f t="shared" si="3"/>
        <v>0.8077260755048374</v>
      </c>
      <c r="S40" s="27">
        <f t="shared" si="8"/>
        <v>0.8077260755048374</v>
      </c>
      <c r="T40" s="39"/>
      <c r="U40" s="39"/>
      <c r="V40" s="39"/>
      <c r="W40" s="24">
        <f>E40/1000</f>
        <v>0.281</v>
      </c>
    </row>
    <row r="41" spans="2:23" s="24" customFormat="1" ht="12.75">
      <c r="B41" s="25">
        <f t="shared" si="1"/>
        <v>2.0408163265306123</v>
      </c>
      <c r="C41" s="24">
        <v>490</v>
      </c>
      <c r="D41" s="26">
        <v>908.7</v>
      </c>
      <c r="E41" s="28">
        <v>750</v>
      </c>
      <c r="F41" s="26">
        <f t="shared" si="4"/>
        <v>0.9087000000000001</v>
      </c>
      <c r="G41" s="26">
        <f t="shared" si="5"/>
        <v>0.75</v>
      </c>
      <c r="H41" s="25">
        <f t="shared" si="6"/>
        <v>-0.09574027228083568</v>
      </c>
      <c r="I41" s="25">
        <f t="shared" si="7"/>
        <v>-0.2876820724517809</v>
      </c>
      <c r="J41" s="26">
        <v>0.729871323750404</v>
      </c>
      <c r="K41" s="21">
        <f t="shared" si="0"/>
        <v>-0.31488702921194023</v>
      </c>
      <c r="L41" s="25"/>
      <c r="M41" s="24">
        <v>0.5122</v>
      </c>
      <c r="N41" s="24">
        <v>0.5068</v>
      </c>
      <c r="Q41" s="27">
        <f t="shared" si="2"/>
        <v>21.160000000000007</v>
      </c>
      <c r="R41" s="27">
        <f t="shared" si="3"/>
        <v>1.0655090765587925</v>
      </c>
      <c r="S41" s="27">
        <f t="shared" si="8"/>
        <v>1.0655090765587925</v>
      </c>
      <c r="T41" s="39"/>
      <c r="U41" s="39"/>
      <c r="V41" s="39"/>
      <c r="W41" s="24">
        <f>E41/1000</f>
        <v>0.75</v>
      </c>
    </row>
    <row r="42" spans="1:23" s="24" customFormat="1" ht="12.75">
      <c r="A42" s="24">
        <f>C36/568</f>
        <v>0.45774647887323944</v>
      </c>
      <c r="B42" s="25">
        <f t="shared" si="1"/>
        <v>1.8518518518518519</v>
      </c>
      <c r="C42" s="24">
        <v>540</v>
      </c>
      <c r="D42" s="26">
        <v>1721</v>
      </c>
      <c r="E42" s="26">
        <v>1659</v>
      </c>
      <c r="F42" s="26">
        <f t="shared" si="4"/>
        <v>1.721</v>
      </c>
      <c r="G42" s="26">
        <f t="shared" si="5"/>
        <v>1.659</v>
      </c>
      <c r="H42" s="25">
        <f t="shared" si="6"/>
        <v>0.5429055172294024</v>
      </c>
      <c r="I42" s="25">
        <f t="shared" si="7"/>
        <v>0.5062150112083075</v>
      </c>
      <c r="J42" s="26">
        <v>1.53154998274854</v>
      </c>
      <c r="K42" s="21">
        <f t="shared" si="0"/>
        <v>0.42628028322469713</v>
      </c>
      <c r="L42" s="25"/>
      <c r="M42" s="24">
        <v>0.4192</v>
      </c>
      <c r="N42" s="24">
        <v>0.4177</v>
      </c>
      <c r="Q42" s="27">
        <f t="shared" si="2"/>
        <v>3.7371910789632303</v>
      </c>
      <c r="R42" s="27">
        <f t="shared" si="3"/>
        <v>0.35910940866650737</v>
      </c>
      <c r="S42" s="27">
        <f t="shared" si="8"/>
        <v>0.35910940866650737</v>
      </c>
      <c r="T42" s="39"/>
      <c r="U42" s="39"/>
      <c r="V42" s="39"/>
      <c r="W42" s="24">
        <f>E42/1000</f>
        <v>1.659</v>
      </c>
    </row>
    <row r="43" spans="2:22" s="20" customFormat="1" ht="12.75">
      <c r="B43" s="25">
        <f t="shared" si="1"/>
        <v>3.3333333333333335</v>
      </c>
      <c r="C43" s="20">
        <v>300</v>
      </c>
      <c r="D43" s="22"/>
      <c r="E43" s="22"/>
      <c r="F43" s="22"/>
      <c r="G43" s="37">
        <v>2.083E-05</v>
      </c>
      <c r="H43" s="21"/>
      <c r="I43" s="25">
        <f t="shared" si="7"/>
        <v>-10.779116302691394</v>
      </c>
      <c r="J43" s="37">
        <v>3.27893357401513E-05</v>
      </c>
      <c r="K43" s="21">
        <f t="shared" si="0"/>
        <v>-10.32540722531379</v>
      </c>
      <c r="L43" s="21"/>
      <c r="Q43" s="23"/>
      <c r="R43" s="23"/>
      <c r="S43" s="23"/>
      <c r="T43" s="38"/>
      <c r="U43" s="38"/>
      <c r="V43" s="38"/>
    </row>
    <row r="44" spans="2:22" s="24" customFormat="1" ht="12.75">
      <c r="B44" s="25">
        <f t="shared" si="1"/>
        <v>2.857142857142857</v>
      </c>
      <c r="C44" s="51">
        <v>350</v>
      </c>
      <c r="D44" s="26"/>
      <c r="E44" s="26"/>
      <c r="F44" s="26"/>
      <c r="G44" s="28">
        <v>0.00061905</v>
      </c>
      <c r="H44" s="25"/>
      <c r="I44" s="25">
        <f t="shared" si="7"/>
        <v>-7.387324513097574</v>
      </c>
      <c r="J44" s="28">
        <v>0.000767833371611766</v>
      </c>
      <c r="K44" s="21">
        <f t="shared" si="0"/>
        <v>-7.171937812403885</v>
      </c>
      <c r="L44" s="25"/>
      <c r="Q44" s="27"/>
      <c r="R44" s="27"/>
      <c r="S44" s="27"/>
      <c r="T44" s="39"/>
      <c r="U44" s="39"/>
      <c r="V44" s="39"/>
    </row>
    <row r="45" spans="2:22" s="24" customFormat="1" ht="12.75">
      <c r="B45" s="25">
        <f t="shared" si="1"/>
        <v>2.5</v>
      </c>
      <c r="C45" s="51">
        <v>400</v>
      </c>
      <c r="D45" s="26"/>
      <c r="E45" s="26"/>
      <c r="F45" s="26"/>
      <c r="G45" s="28">
        <v>0.0064965</v>
      </c>
      <c r="H45" s="25"/>
      <c r="I45" s="25">
        <f t="shared" si="7"/>
        <v>-5.036491708641483</v>
      </c>
      <c r="J45" s="28">
        <v>0.00701883121817128</v>
      </c>
      <c r="K45" s="21">
        <f t="shared" si="0"/>
        <v>-4.959158567943932</v>
      </c>
      <c r="L45" s="25"/>
      <c r="Q45" s="27"/>
      <c r="R45" s="27"/>
      <c r="S45" s="27"/>
      <c r="T45" s="39"/>
      <c r="U45" s="39"/>
      <c r="V45" s="39"/>
    </row>
    <row r="46" spans="1:22" s="24" customFormat="1" ht="12.75">
      <c r="A46" s="24" t="s">
        <v>53</v>
      </c>
      <c r="B46" s="25">
        <f t="shared" si="1"/>
        <v>2.2222222222222223</v>
      </c>
      <c r="C46" s="24">
        <v>450</v>
      </c>
      <c r="D46" s="26">
        <v>46.7</v>
      </c>
      <c r="E46" s="26">
        <f>EXP($P$46+$P$47/C46+$P$48*LN(C46)+$P$49*C46^$P$50)/1000</f>
        <v>35.696111121641465</v>
      </c>
      <c r="F46" s="26">
        <f t="shared" si="4"/>
        <v>0.046700000000000005</v>
      </c>
      <c r="G46" s="26">
        <f t="shared" si="5"/>
        <v>0.03569611112164146</v>
      </c>
      <c r="H46" s="25">
        <f t="shared" si="6"/>
        <v>-3.0640111143072852</v>
      </c>
      <c r="I46" s="25">
        <f t="shared" si="7"/>
        <v>-3.332713528296989</v>
      </c>
      <c r="J46" s="28">
        <v>0.0352973541982342</v>
      </c>
      <c r="K46" s="21">
        <f t="shared" si="0"/>
        <v>-3.3439472697433015</v>
      </c>
      <c r="L46" s="25"/>
      <c r="M46" s="24">
        <v>0.6332</v>
      </c>
      <c r="N46" s="24">
        <f>$O$46/$O$47^(1+(1-C46/$O$48)^$O$49)*$O$50/1000</f>
        <v>0.6291179305843803</v>
      </c>
      <c r="O46" s="24">
        <v>0.33267</v>
      </c>
      <c r="P46" s="24">
        <v>137.47</v>
      </c>
      <c r="Q46" s="27">
        <f t="shared" si="2"/>
        <v>30.826576152401135</v>
      </c>
      <c r="R46" s="27">
        <f t="shared" si="3"/>
        <v>0.6488559961767327</v>
      </c>
      <c r="S46" s="27">
        <f t="shared" si="8"/>
        <v>0.6488559961767327</v>
      </c>
      <c r="T46" s="39"/>
      <c r="U46" s="39"/>
      <c r="V46" s="39"/>
    </row>
    <row r="47" spans="1:22" s="24" customFormat="1" ht="12.75">
      <c r="A47" s="24">
        <v>64</v>
      </c>
      <c r="B47" s="25">
        <f t="shared" si="1"/>
        <v>2</v>
      </c>
      <c r="C47" s="24">
        <v>500</v>
      </c>
      <c r="D47" s="26">
        <v>169.13</v>
      </c>
      <c r="E47" s="26">
        <f>EXP($P$46+$P$47/C47+$P$48*LN(C47)+$P$49*C47^$P$50)/1000</f>
        <v>129.20091760951442</v>
      </c>
      <c r="F47" s="26">
        <f t="shared" si="4"/>
        <v>0.16913</v>
      </c>
      <c r="G47" s="26">
        <f t="shared" si="5"/>
        <v>0.1292009176095144</v>
      </c>
      <c r="H47" s="25">
        <f t="shared" si="6"/>
        <v>-1.7770876289961863</v>
      </c>
      <c r="I47" s="25">
        <f t="shared" si="7"/>
        <v>-2.0463865854180328</v>
      </c>
      <c r="J47" s="26">
        <v>0.119633671110054</v>
      </c>
      <c r="K47" s="21">
        <f t="shared" si="0"/>
        <v>-2.1233209460675084</v>
      </c>
      <c r="L47" s="25"/>
      <c r="M47" s="24">
        <v>0.5921</v>
      </c>
      <c r="N47" s="24">
        <f>$O$46/$O$47^(1+(1-C47/$O$48)^$O$49)*$O$50/1000</f>
        <v>0.583017382090415</v>
      </c>
      <c r="O47" s="24">
        <v>0.24664</v>
      </c>
      <c r="P47" s="24">
        <v>-11976</v>
      </c>
      <c r="Q47" s="27">
        <f t="shared" si="2"/>
        <v>30.904643039118152</v>
      </c>
      <c r="R47" s="27">
        <f t="shared" si="3"/>
        <v>1.557864000043902</v>
      </c>
      <c r="S47" s="27">
        <f t="shared" si="8"/>
        <v>1.557864000043902</v>
      </c>
      <c r="T47" s="39"/>
      <c r="U47" s="39"/>
      <c r="V47" s="39"/>
    </row>
    <row r="48" spans="1:22" s="24" customFormat="1" ht="12.75">
      <c r="A48" s="24">
        <f>C43/658</f>
        <v>0.45592705167173253</v>
      </c>
      <c r="B48" s="25">
        <f t="shared" si="1"/>
        <v>1.8181818181818181</v>
      </c>
      <c r="C48" s="24">
        <v>550</v>
      </c>
      <c r="D48" s="26">
        <v>412.2</v>
      </c>
      <c r="E48" s="26">
        <f>EXP($P$46+$P$47/C48+$P$48*LN(C48)+$P$49*C48^$P$50)/1000</f>
        <v>354.9902614791449</v>
      </c>
      <c r="F48" s="26">
        <f t="shared" si="4"/>
        <v>0.4122</v>
      </c>
      <c r="G48" s="26">
        <f t="shared" si="5"/>
        <v>0.3549902614791449</v>
      </c>
      <c r="H48" s="25">
        <f t="shared" si="6"/>
        <v>-0.8862466105257784</v>
      </c>
      <c r="I48" s="25">
        <f t="shared" si="7"/>
        <v>-1.0356649223361107</v>
      </c>
      <c r="J48" s="26">
        <v>0.310219876995581</v>
      </c>
      <c r="K48" s="21">
        <f t="shared" si="0"/>
        <v>-1.1704739522926673</v>
      </c>
      <c r="L48" s="25"/>
      <c r="M48" s="24">
        <v>0.5374</v>
      </c>
      <c r="N48" s="24">
        <f>$O$46/$O$47^(1+(1-C48/$O$48)^$O$49)*$O$50/1000</f>
        <v>0.5296931649271331</v>
      </c>
      <c r="O48" s="24">
        <v>658</v>
      </c>
      <c r="P48" s="24">
        <v>-16.698</v>
      </c>
      <c r="Q48" s="27">
        <f t="shared" si="2"/>
        <v>16.115861399261526</v>
      </c>
      <c r="R48" s="27">
        <f t="shared" si="3"/>
        <v>1.4549621522730112</v>
      </c>
      <c r="S48" s="27">
        <f t="shared" si="8"/>
        <v>1.4549621522730112</v>
      </c>
      <c r="T48" s="39"/>
      <c r="U48" s="39"/>
      <c r="V48" s="39"/>
    </row>
    <row r="49" spans="2:22" s="24" customFormat="1" ht="12.75">
      <c r="B49" s="25">
        <f t="shared" si="1"/>
        <v>1.7094017094017093</v>
      </c>
      <c r="C49" s="24">
        <v>585</v>
      </c>
      <c r="D49" s="26">
        <v>750.34</v>
      </c>
      <c r="E49" s="26">
        <f>EXP($P$46+$P$47/C49+$P$48*LN(C49)+$P$49*C49^$P$50)/1000</f>
        <v>642.958903909074</v>
      </c>
      <c r="F49" s="26">
        <f t="shared" si="4"/>
        <v>0.75034</v>
      </c>
      <c r="G49" s="26">
        <f t="shared" si="5"/>
        <v>0.6429589039090741</v>
      </c>
      <c r="H49" s="25">
        <f t="shared" si="6"/>
        <v>-0.28722884184295866</v>
      </c>
      <c r="I49" s="25">
        <f t="shared" si="7"/>
        <v>-0.44167446983669517</v>
      </c>
      <c r="J49" s="26">
        <v>0.539104155086027</v>
      </c>
      <c r="K49" s="21">
        <f t="shared" si="0"/>
        <v>-0.6178464891047133</v>
      </c>
      <c r="L49" s="25"/>
      <c r="M49" s="24">
        <v>0.4976</v>
      </c>
      <c r="N49" s="24">
        <f>$O$46/$O$47^(1+(1-C49/$O$48)^$O$49)*$O$50/1000</f>
        <v>0.48486146987549816</v>
      </c>
      <c r="O49" s="24">
        <v>0.28571</v>
      </c>
      <c r="P49" s="24">
        <v>8.0906E-06</v>
      </c>
      <c r="Q49" s="27">
        <f t="shared" si="2"/>
        <v>16.701082361262646</v>
      </c>
      <c r="R49" s="27">
        <f t="shared" si="3"/>
        <v>2.6272514761325123</v>
      </c>
      <c r="S49" s="27">
        <f t="shared" si="8"/>
        <v>2.6272514761325123</v>
      </c>
      <c r="T49" s="39"/>
      <c r="U49" s="39"/>
      <c r="V49" s="39"/>
    </row>
    <row r="50" spans="2:22" s="29" customFormat="1" ht="12.75">
      <c r="B50" s="25">
        <f t="shared" si="1"/>
        <v>1.6129032258064515</v>
      </c>
      <c r="C50" s="29">
        <v>620</v>
      </c>
      <c r="D50" s="31">
        <v>1189.46</v>
      </c>
      <c r="E50" s="31">
        <f>EXP($P$46+$P$47/C50+$P$48*LN(C50)+$P$49*C50^$P$50)/1000</f>
        <v>1088.6421715067568</v>
      </c>
      <c r="F50" s="31">
        <f t="shared" si="4"/>
        <v>1.18946</v>
      </c>
      <c r="G50" s="31">
        <f t="shared" si="5"/>
        <v>1.0886421715067567</v>
      </c>
      <c r="H50" s="30">
        <f t="shared" si="6"/>
        <v>0.17349942262084453</v>
      </c>
      <c r="I50" s="30">
        <f t="shared" si="7"/>
        <v>0.08493120548014549</v>
      </c>
      <c r="J50" s="26">
        <v>0.872442820096329</v>
      </c>
      <c r="K50" s="21">
        <f t="shared" si="0"/>
        <v>-0.1364581627593262</v>
      </c>
      <c r="L50" s="25"/>
      <c r="M50" s="29">
        <v>0.43717</v>
      </c>
      <c r="N50" s="29">
        <f>$O$46/$O$47^(1+(1-C50/$O$48)^$O$49)*$O$50/1000</f>
        <v>0.4269933985347375</v>
      </c>
      <c r="O50" s="29">
        <v>170.3348</v>
      </c>
      <c r="P50" s="29">
        <v>2</v>
      </c>
      <c r="Q50" s="33">
        <f>(D50-E50)/E50*100</f>
        <v>9.26087847154629</v>
      </c>
      <c r="R50" s="33">
        <f>(M50-N50)/N50*100</f>
        <v>2.383315877993509</v>
      </c>
      <c r="S50" s="33">
        <f t="shared" si="8"/>
        <v>2.383315877993509</v>
      </c>
      <c r="T50" s="40"/>
      <c r="U50" s="40"/>
      <c r="V50" s="40"/>
    </row>
    <row r="51" spans="17:19" ht="12.75">
      <c r="Q51" s="1">
        <f>AVERAGE(Q15:Q50)</f>
        <v>28.15192316915953</v>
      </c>
      <c r="R51" s="1">
        <f>AVERAGE(R15:R50)</f>
        <v>1.009218314251591</v>
      </c>
      <c r="S51" s="1">
        <f>AVERAGE(S11:S50)</f>
        <v>1.1520423316830188</v>
      </c>
    </row>
    <row r="52" ht="13.5" thickBot="1">
      <c r="S52" s="1"/>
    </row>
    <row r="53" spans="3:17" ht="24" thickBot="1" thickTop="1">
      <c r="C53" s="5">
        <v>14.4</v>
      </c>
      <c r="D53" s="17">
        <v>-8.3</v>
      </c>
      <c r="E53" s="17">
        <v>3</v>
      </c>
      <c r="F53" s="17"/>
      <c r="G53" s="17"/>
      <c r="H53" s="14"/>
      <c r="I53" s="14"/>
      <c r="J53" s="17"/>
      <c r="K53" s="14"/>
      <c r="L53" s="14"/>
      <c r="M53" s="5">
        <v>28.2</v>
      </c>
      <c r="N53" s="6">
        <v>28.2</v>
      </c>
      <c r="O53" s="6">
        <v>1</v>
      </c>
      <c r="P53" s="6">
        <v>1.2</v>
      </c>
      <c r="Q53">
        <f>ABS(E53)</f>
        <v>3</v>
      </c>
    </row>
    <row r="54" spans="3:17" ht="23.25" thickBot="1">
      <c r="C54" s="7">
        <v>16.8</v>
      </c>
      <c r="D54" s="18">
        <v>-16.8</v>
      </c>
      <c r="E54" s="18">
        <v>1.3</v>
      </c>
      <c r="F54" s="18"/>
      <c r="G54" s="18"/>
      <c r="H54" s="15"/>
      <c r="I54" s="15"/>
      <c r="J54" s="18"/>
      <c r="K54" s="15"/>
      <c r="L54" s="15"/>
      <c r="M54" s="7">
        <v>23.1</v>
      </c>
      <c r="N54" s="8">
        <v>22.8</v>
      </c>
      <c r="O54" s="8">
        <v>1.3</v>
      </c>
      <c r="P54" s="8">
        <v>1</v>
      </c>
      <c r="Q54">
        <f>ABS(E54)</f>
        <v>1.3</v>
      </c>
    </row>
    <row r="55" spans="3:17" ht="23.25" thickBot="1">
      <c r="C55" s="7">
        <v>18.7</v>
      </c>
      <c r="D55" s="18">
        <v>-17.9</v>
      </c>
      <c r="E55" s="18">
        <v>3</v>
      </c>
      <c r="F55" s="18"/>
      <c r="G55" s="18"/>
      <c r="H55" s="15"/>
      <c r="I55" s="15"/>
      <c r="J55" s="18"/>
      <c r="K55" s="15"/>
      <c r="L55" s="15"/>
      <c r="M55" s="7">
        <v>38.7</v>
      </c>
      <c r="N55" s="8">
        <v>38.7</v>
      </c>
      <c r="O55" s="8">
        <v>0.4</v>
      </c>
      <c r="P55" s="8">
        <v>-0.1</v>
      </c>
      <c r="Q55">
        <f>ABS(E55)</f>
        <v>3</v>
      </c>
    </row>
    <row r="56" spans="3:17" ht="23.25" thickBot="1">
      <c r="C56" s="7">
        <v>31.5</v>
      </c>
      <c r="D56" s="18">
        <v>31.5</v>
      </c>
      <c r="E56" s="18">
        <v>-4.5</v>
      </c>
      <c r="F56" s="18"/>
      <c r="G56" s="18"/>
      <c r="H56" s="15"/>
      <c r="I56" s="15"/>
      <c r="J56" s="18"/>
      <c r="K56" s="15"/>
      <c r="L56" s="15"/>
      <c r="M56" s="7">
        <v>25.3</v>
      </c>
      <c r="N56" s="8">
        <v>24.8</v>
      </c>
      <c r="O56" s="8">
        <v>1.5</v>
      </c>
      <c r="P56" s="8">
        <v>0.1</v>
      </c>
      <c r="Q56">
        <f>ABS(E56)</f>
        <v>4.5</v>
      </c>
    </row>
    <row r="57" spans="3:17" ht="24" thickBot="1" thickTop="1">
      <c r="C57" s="5">
        <v>11.2</v>
      </c>
      <c r="D57" s="17">
        <v>-7.5</v>
      </c>
      <c r="E57" s="17">
        <v>-2.4</v>
      </c>
      <c r="F57" s="19"/>
      <c r="G57" s="19"/>
      <c r="H57" s="16"/>
      <c r="I57" s="16"/>
      <c r="J57" s="19"/>
      <c r="K57" s="16"/>
      <c r="L57" s="16"/>
      <c r="M57" s="9"/>
      <c r="N57" s="9"/>
      <c r="O57" s="9"/>
      <c r="P57" s="9"/>
      <c r="Q57">
        <f>ABS(E57)</f>
        <v>2.4</v>
      </c>
    </row>
    <row r="58" spans="3:17" ht="12.75">
      <c r="C58">
        <f>AVERAGE(C53:C57)</f>
        <v>18.520000000000003</v>
      </c>
      <c r="D58" s="12">
        <f>AVERAGE(D53:D57)</f>
        <v>-3.8</v>
      </c>
      <c r="E58" s="12">
        <f>AVERAGE(E53:E57)</f>
        <v>0.07999999999999999</v>
      </c>
      <c r="M58">
        <f>AVERAGE(M53:M56)</f>
        <v>28.825</v>
      </c>
      <c r="N58">
        <f>AVERAGE(N53:N56)</f>
        <v>28.625</v>
      </c>
      <c r="O58">
        <f>AVERAGE(O53:O56)</f>
        <v>1.0499999999999998</v>
      </c>
      <c r="P58">
        <f>AVERAGE(P53:P56)</f>
        <v>0.55</v>
      </c>
      <c r="Q58">
        <f>AVERAGE(Q53:Q57)</f>
        <v>2.8400000000000003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zoomScale="80" zoomScaleNormal="80" workbookViewId="0" topLeftCell="A1">
      <selection activeCell="J49" sqref="J49"/>
    </sheetView>
  </sheetViews>
  <sheetFormatPr defaultColWidth="9.140625" defaultRowHeight="12.75"/>
  <cols>
    <col min="1" max="1" width="8.28125" style="0" customWidth="1"/>
    <col min="2" max="2" width="9.140625" style="25" customWidth="1"/>
    <col min="4" max="7" width="9.140625" style="12" customWidth="1"/>
    <col min="8" max="9" width="9.140625" style="10" customWidth="1"/>
    <col min="10" max="10" width="9.140625" style="12" customWidth="1"/>
    <col min="11" max="11" width="9.140625" style="10" customWidth="1"/>
    <col min="12" max="12" width="9.140625" style="12" customWidth="1"/>
    <col min="13" max="13" width="9.140625" style="10" customWidth="1"/>
  </cols>
  <sheetData>
    <row r="1" spans="3:16" ht="12.75">
      <c r="C1" t="s">
        <v>36</v>
      </c>
      <c r="D1" s="12" t="s">
        <v>37</v>
      </c>
      <c r="E1" s="12" t="s">
        <v>42</v>
      </c>
      <c r="J1" s="12" t="s">
        <v>66</v>
      </c>
      <c r="L1" s="12" t="s">
        <v>67</v>
      </c>
      <c r="N1" t="s">
        <v>38</v>
      </c>
      <c r="O1" t="s">
        <v>41</v>
      </c>
      <c r="P1" t="s">
        <v>39</v>
      </c>
    </row>
    <row r="2" spans="1:21" s="20" customFormat="1" ht="12.75">
      <c r="A2" s="20" t="s">
        <v>43</v>
      </c>
      <c r="B2" s="25">
        <f>1000/C2</f>
        <v>6.944444444444445</v>
      </c>
      <c r="C2" s="20">
        <v>144</v>
      </c>
      <c r="D2" s="22">
        <v>27</v>
      </c>
      <c r="E2" s="22">
        <v>16.9804</v>
      </c>
      <c r="F2" s="22">
        <f aca="true" t="shared" si="0" ref="F2:G7">D2/1000</f>
        <v>0.027</v>
      </c>
      <c r="G2" s="22">
        <f t="shared" si="0"/>
        <v>0.0169804</v>
      </c>
      <c r="H2" s="21">
        <f aca="true" t="shared" si="1" ref="H2:I7">LN(F2)</f>
        <v>-3.611918412977808</v>
      </c>
      <c r="I2" s="21">
        <f t="shared" si="1"/>
        <v>-4.07569554125037</v>
      </c>
      <c r="J2" s="37"/>
      <c r="K2" s="21"/>
      <c r="L2" s="22"/>
      <c r="M2" s="21"/>
      <c r="N2" s="20">
        <v>0.602</v>
      </c>
      <c r="O2" s="20">
        <v>0.603</v>
      </c>
      <c r="R2" s="41">
        <f aca="true" t="shared" si="2" ref="R2:R21">(D2-E2)/E2*100</f>
        <v>59.00685496219171</v>
      </c>
      <c r="S2" s="41">
        <f aca="true" t="shared" si="3" ref="S2:S21">(N2-O2)/O2*100</f>
        <v>-0.16583747927031525</v>
      </c>
      <c r="T2" s="42">
        <f aca="true" t="shared" si="4" ref="T2:T21">ABS(R2)</f>
        <v>59.00685496219171</v>
      </c>
      <c r="U2" s="42">
        <f aca="true" t="shared" si="5" ref="U2:U21">ABS(S2)</f>
        <v>0.16583747927031525</v>
      </c>
    </row>
    <row r="3" spans="1:21" s="24" customFormat="1" ht="12.75">
      <c r="A3" s="24" t="s">
        <v>40</v>
      </c>
      <c r="B3" s="25">
        <f aca="true" t="shared" si="6" ref="B3:B12">1000/C3</f>
        <v>6.097560975609756</v>
      </c>
      <c r="C3" s="24">
        <v>164</v>
      </c>
      <c r="D3" s="26">
        <v>95</v>
      </c>
      <c r="E3" s="26">
        <v>73.3223</v>
      </c>
      <c r="F3" s="22">
        <f t="shared" si="0"/>
        <v>0.095</v>
      </c>
      <c r="G3" s="22">
        <f t="shared" si="0"/>
        <v>0.07332229999999999</v>
      </c>
      <c r="H3" s="21">
        <f t="shared" si="1"/>
        <v>-2.353878387381596</v>
      </c>
      <c r="I3" s="21">
        <f t="shared" si="1"/>
        <v>-2.6128904871627605</v>
      </c>
      <c r="J3" s="26"/>
      <c r="K3" s="25"/>
      <c r="L3" s="26"/>
      <c r="M3" s="25"/>
      <c r="N3" s="24">
        <v>0.575</v>
      </c>
      <c r="O3" s="24">
        <v>0.575</v>
      </c>
      <c r="R3" s="43">
        <f t="shared" si="2"/>
        <v>29.564948180839938</v>
      </c>
      <c r="S3" s="43">
        <f t="shared" si="3"/>
        <v>0</v>
      </c>
      <c r="T3" s="44">
        <f t="shared" si="4"/>
        <v>29.564948180839938</v>
      </c>
      <c r="U3" s="44">
        <f t="shared" si="5"/>
        <v>0</v>
      </c>
    </row>
    <row r="4" spans="1:21" s="24" customFormat="1" ht="12.75">
      <c r="A4" s="24">
        <v>58.1222</v>
      </c>
      <c r="B4" s="25">
        <f t="shared" si="6"/>
        <v>5.434782608695652</v>
      </c>
      <c r="C4" s="24">
        <v>184</v>
      </c>
      <c r="D4" s="26">
        <v>280</v>
      </c>
      <c r="E4" s="26">
        <v>222.8597</v>
      </c>
      <c r="F4" s="22">
        <f t="shared" si="0"/>
        <v>0.28</v>
      </c>
      <c r="G4" s="22">
        <f t="shared" si="0"/>
        <v>0.2228597</v>
      </c>
      <c r="H4" s="21">
        <f t="shared" si="1"/>
        <v>-1.2729656758128873</v>
      </c>
      <c r="I4" s="21">
        <f t="shared" si="1"/>
        <v>-1.5012128535007232</v>
      </c>
      <c r="J4" s="26"/>
      <c r="K4" s="25"/>
      <c r="L4" s="26"/>
      <c r="M4" s="25"/>
      <c r="N4" s="24">
        <v>0.545</v>
      </c>
      <c r="O4" s="24">
        <v>0.546</v>
      </c>
      <c r="P4" s="24">
        <v>282</v>
      </c>
      <c r="R4" s="43">
        <f t="shared" si="2"/>
        <v>25.63958400733735</v>
      </c>
      <c r="S4" s="43">
        <f t="shared" si="3"/>
        <v>-0.1831501831501833</v>
      </c>
      <c r="T4" s="44">
        <f t="shared" si="4"/>
        <v>25.63958400733735</v>
      </c>
      <c r="U4" s="44">
        <f t="shared" si="5"/>
        <v>0.1831501831501833</v>
      </c>
    </row>
    <row r="5" spans="1:21" s="24" customFormat="1" ht="12.75">
      <c r="A5" s="48">
        <v>201</v>
      </c>
      <c r="B5" s="25">
        <f t="shared" si="6"/>
        <v>4.878048780487805</v>
      </c>
      <c r="C5" s="24">
        <v>205</v>
      </c>
      <c r="D5" s="26">
        <v>690</v>
      </c>
      <c r="E5" s="26">
        <v>556.2079</v>
      </c>
      <c r="F5" s="22">
        <f t="shared" si="0"/>
        <v>0.69</v>
      </c>
      <c r="G5" s="22">
        <f t="shared" si="0"/>
        <v>0.5562079</v>
      </c>
      <c r="H5" s="21">
        <f t="shared" si="1"/>
        <v>-0.37106368139083207</v>
      </c>
      <c r="I5" s="21">
        <f t="shared" si="1"/>
        <v>-0.5866131337592294</v>
      </c>
      <c r="J5" s="26"/>
      <c r="K5" s="25"/>
      <c r="L5" s="26"/>
      <c r="M5" s="25"/>
      <c r="N5" s="24">
        <v>0.513</v>
      </c>
      <c r="O5" s="24">
        <v>0.513</v>
      </c>
      <c r="P5" s="24">
        <f>245/P4</f>
        <v>0.8687943262411347</v>
      </c>
      <c r="R5" s="43">
        <f t="shared" si="2"/>
        <v>24.054332921197272</v>
      </c>
      <c r="S5" s="43">
        <f t="shared" si="3"/>
        <v>0</v>
      </c>
      <c r="T5" s="44">
        <f t="shared" si="4"/>
        <v>24.054332921197272</v>
      </c>
      <c r="U5" s="44">
        <f t="shared" si="5"/>
        <v>0</v>
      </c>
    </row>
    <row r="6" spans="1:21" s="24" customFormat="1" ht="12.75">
      <c r="A6" s="24">
        <f>C2/P4</f>
        <v>0.5106382978723404</v>
      </c>
      <c r="B6" s="25">
        <f t="shared" si="6"/>
        <v>4.444444444444445</v>
      </c>
      <c r="C6" s="24">
        <v>225</v>
      </c>
      <c r="D6" s="26">
        <v>1280</v>
      </c>
      <c r="E6" s="26">
        <v>1126.121</v>
      </c>
      <c r="F6" s="22">
        <f t="shared" si="0"/>
        <v>1.28</v>
      </c>
      <c r="G6" s="22">
        <f t="shared" si="0"/>
        <v>1.1261210000000001</v>
      </c>
      <c r="H6" s="21">
        <f t="shared" si="1"/>
        <v>0.2468600779315258</v>
      </c>
      <c r="I6" s="21">
        <f t="shared" si="1"/>
        <v>0.11877898397960673</v>
      </c>
      <c r="J6" s="26"/>
      <c r="K6" s="25"/>
      <c r="L6" s="26"/>
      <c r="M6" s="25"/>
      <c r="N6" s="24">
        <v>0.48</v>
      </c>
      <c r="O6" s="24">
        <v>0.476</v>
      </c>
      <c r="R6" s="43">
        <f t="shared" si="2"/>
        <v>13.6645174008832</v>
      </c>
      <c r="S6" s="43">
        <f t="shared" si="3"/>
        <v>0.8403361344537823</v>
      </c>
      <c r="T6" s="44">
        <f t="shared" si="4"/>
        <v>13.6645174008832</v>
      </c>
      <c r="U6" s="44">
        <f t="shared" si="5"/>
        <v>0.8403361344537823</v>
      </c>
    </row>
    <row r="7" spans="1:21" s="29" customFormat="1" ht="12.75">
      <c r="A7" s="49">
        <v>282</v>
      </c>
      <c r="B7" s="25">
        <f t="shared" si="6"/>
        <v>4.081632653061225</v>
      </c>
      <c r="C7" s="29">
        <v>245</v>
      </c>
      <c r="D7" s="31">
        <v>2390</v>
      </c>
      <c r="E7" s="31">
        <v>2035.267</v>
      </c>
      <c r="F7" s="22">
        <f t="shared" si="0"/>
        <v>2.39</v>
      </c>
      <c r="G7" s="22">
        <f t="shared" si="0"/>
        <v>2.035267</v>
      </c>
      <c r="H7" s="21">
        <f t="shared" si="1"/>
        <v>0.8712933659434193</v>
      </c>
      <c r="I7" s="21">
        <f t="shared" si="1"/>
        <v>0.7106270142192793</v>
      </c>
      <c r="J7" s="31"/>
      <c r="K7" s="30"/>
      <c r="L7" s="31"/>
      <c r="M7" s="30"/>
      <c r="N7" s="29">
        <v>0.436</v>
      </c>
      <c r="O7" s="29">
        <v>0.434</v>
      </c>
      <c r="R7" s="45">
        <f t="shared" si="2"/>
        <v>17.429310257573082</v>
      </c>
      <c r="S7" s="45">
        <f t="shared" si="3"/>
        <v>0.46082949308755805</v>
      </c>
      <c r="T7" s="46">
        <f t="shared" si="4"/>
        <v>17.429310257573082</v>
      </c>
      <c r="U7" s="46">
        <f t="shared" si="5"/>
        <v>0.46082949308755805</v>
      </c>
    </row>
    <row r="8" spans="1:21" s="24" customFormat="1" ht="12.75">
      <c r="A8" s="50"/>
      <c r="B8" s="25">
        <f t="shared" si="6"/>
        <v>6.0606060606060606</v>
      </c>
      <c r="C8" s="51">
        <v>165</v>
      </c>
      <c r="D8" s="26"/>
      <c r="E8" s="26"/>
      <c r="F8" s="26"/>
      <c r="G8" s="28">
        <v>0.0019672</v>
      </c>
      <c r="H8" s="25"/>
      <c r="I8" s="25">
        <f>LN(G8)</f>
        <v>-6.231144067062291</v>
      </c>
      <c r="J8" s="28">
        <v>0.00108282597</v>
      </c>
      <c r="K8" s="25">
        <f>LN(J8)</f>
        <v>-6.828181016396486</v>
      </c>
      <c r="L8" s="26">
        <v>0.00171674</v>
      </c>
      <c r="M8" s="25">
        <f>LN(L8)</f>
        <v>-6.367328135440407</v>
      </c>
      <c r="R8" s="43"/>
      <c r="S8" s="43"/>
      <c r="T8" s="44"/>
      <c r="U8" s="44"/>
    </row>
    <row r="9" spans="1:21" ht="12.75">
      <c r="A9" s="10" t="s">
        <v>44</v>
      </c>
      <c r="B9" s="25">
        <f t="shared" si="6"/>
        <v>5.4945054945054945</v>
      </c>
      <c r="C9">
        <v>182</v>
      </c>
      <c r="D9" s="12">
        <v>16</v>
      </c>
      <c r="E9" s="12">
        <v>8.0577</v>
      </c>
      <c r="F9" s="12">
        <f>D9/1000</f>
        <v>0.016</v>
      </c>
      <c r="G9" s="12">
        <f>E9/1000</f>
        <v>0.008057700000000001</v>
      </c>
      <c r="H9" s="10">
        <f aca="true" t="shared" si="7" ref="H9:I12">LN(F9)</f>
        <v>-4.135166556742356</v>
      </c>
      <c r="I9" s="10">
        <f t="shared" si="7"/>
        <v>-4.821127122987944</v>
      </c>
      <c r="J9" s="13">
        <v>0.0044933347</v>
      </c>
      <c r="K9" s="10">
        <f>LN(J9)</f>
        <v>-5.40516015801183</v>
      </c>
      <c r="L9" s="13">
        <v>0.00711758515685778</v>
      </c>
      <c r="M9" s="25">
        <f aca="true" t="shared" si="8" ref="M9:M50">LN(L9)</f>
        <v>-4.945186774449826</v>
      </c>
      <c r="N9">
        <v>0.66</v>
      </c>
      <c r="O9">
        <v>0.661</v>
      </c>
      <c r="R9" s="4">
        <f t="shared" si="2"/>
        <v>98.56782952951833</v>
      </c>
      <c r="S9" s="4">
        <f t="shared" si="3"/>
        <v>-0.15128593040847216</v>
      </c>
      <c r="T9" s="3">
        <f t="shared" si="4"/>
        <v>98.56782952951833</v>
      </c>
      <c r="U9" s="3">
        <f t="shared" si="5"/>
        <v>0.15128593040847216</v>
      </c>
    </row>
    <row r="10" spans="1:21" ht="12.75">
      <c r="A10" t="s">
        <v>40</v>
      </c>
      <c r="B10" s="25">
        <f t="shared" si="6"/>
        <v>4.694835680751174</v>
      </c>
      <c r="C10">
        <v>213</v>
      </c>
      <c r="D10" s="12">
        <v>88</v>
      </c>
      <c r="E10" s="12">
        <v>55.1778</v>
      </c>
      <c r="F10" s="12">
        <f aca="true" t="shared" si="9" ref="F10:F26">D10/1000</f>
        <v>0.088</v>
      </c>
      <c r="G10" s="12">
        <f aca="true" t="shared" si="10" ref="G10:G21">E10/1000</f>
        <v>0.0551778</v>
      </c>
      <c r="H10" s="10">
        <f t="shared" si="7"/>
        <v>-2.430418464503931</v>
      </c>
      <c r="I10" s="10">
        <f t="shared" si="7"/>
        <v>-2.8971945805057486</v>
      </c>
      <c r="J10" s="13">
        <v>0.03237853</v>
      </c>
      <c r="K10" s="10">
        <f aca="true" t="shared" si="11" ref="K10:K50">LN(J10)</f>
        <v>-3.4302597301572564</v>
      </c>
      <c r="L10" s="13">
        <v>0.0490770264674043</v>
      </c>
      <c r="M10" s="25">
        <f t="shared" si="8"/>
        <v>-3.0143642463985074</v>
      </c>
      <c r="N10">
        <v>0.624</v>
      </c>
      <c r="O10">
        <v>0.624</v>
      </c>
      <c r="R10" s="4">
        <f t="shared" si="2"/>
        <v>59.4844303324888</v>
      </c>
      <c r="S10" s="4">
        <f t="shared" si="3"/>
        <v>0</v>
      </c>
      <c r="T10" s="3">
        <f t="shared" si="4"/>
        <v>59.4844303324888</v>
      </c>
      <c r="U10" s="3">
        <f t="shared" si="5"/>
        <v>0</v>
      </c>
    </row>
    <row r="11" spans="1:21" ht="12.75">
      <c r="A11">
        <v>92.1384</v>
      </c>
      <c r="B11" s="25">
        <f t="shared" si="6"/>
        <v>4.081632653061225</v>
      </c>
      <c r="C11">
        <v>245</v>
      </c>
      <c r="D11" s="12">
        <v>310</v>
      </c>
      <c r="E11" s="12">
        <v>227.9042</v>
      </c>
      <c r="F11" s="12">
        <f t="shared" si="9"/>
        <v>0.31</v>
      </c>
      <c r="G11" s="12">
        <f t="shared" si="10"/>
        <v>0.2279042</v>
      </c>
      <c r="H11" s="10">
        <f t="shared" si="7"/>
        <v>-1.171182981502945</v>
      </c>
      <c r="I11" s="10">
        <f t="shared" si="7"/>
        <v>-1.4788299137647272</v>
      </c>
      <c r="J11" s="12">
        <v>0.14249478</v>
      </c>
      <c r="K11" s="10">
        <f t="shared" si="11"/>
        <v>-1.948449911523332</v>
      </c>
      <c r="L11" s="12">
        <v>0.202007477939956</v>
      </c>
      <c r="M11" s="25">
        <f t="shared" si="8"/>
        <v>-1.5994505627614046</v>
      </c>
      <c r="N11">
        <v>0.582</v>
      </c>
      <c r="O11">
        <v>0.584</v>
      </c>
      <c r="P11">
        <v>369</v>
      </c>
      <c r="R11" s="4">
        <f t="shared" si="2"/>
        <v>36.02206541169492</v>
      </c>
      <c r="S11" s="4">
        <f t="shared" si="3"/>
        <v>-0.34246575342465785</v>
      </c>
      <c r="T11" s="3">
        <f t="shared" si="4"/>
        <v>36.02206541169492</v>
      </c>
      <c r="U11" s="3">
        <f t="shared" si="5"/>
        <v>0.34246575342465785</v>
      </c>
    </row>
    <row r="12" spans="1:21" ht="12.75">
      <c r="A12" s="47">
        <v>202</v>
      </c>
      <c r="B12" s="25">
        <f t="shared" si="6"/>
        <v>3.6231884057971016</v>
      </c>
      <c r="C12">
        <v>276</v>
      </c>
      <c r="D12" s="12">
        <v>760</v>
      </c>
      <c r="E12" s="12">
        <v>639.02118</v>
      </c>
      <c r="F12" s="12">
        <f t="shared" si="9"/>
        <v>0.76</v>
      </c>
      <c r="G12" s="12">
        <f t="shared" si="10"/>
        <v>0.63902118</v>
      </c>
      <c r="H12" s="10">
        <f t="shared" si="7"/>
        <v>-0.2744368457017603</v>
      </c>
      <c r="I12" s="10">
        <f t="shared" si="7"/>
        <v>-0.4478176796139975</v>
      </c>
      <c r="J12" s="12">
        <v>0.42374027</v>
      </c>
      <c r="K12" s="10">
        <f t="shared" si="11"/>
        <v>-0.8586345822030172</v>
      </c>
      <c r="L12" s="12">
        <v>0.562309817950236</v>
      </c>
      <c r="M12" s="25">
        <f t="shared" si="8"/>
        <v>-0.5757023034945365</v>
      </c>
      <c r="N12">
        <v>0.539</v>
      </c>
      <c r="O12">
        <v>0.54</v>
      </c>
      <c r="R12" s="4">
        <f t="shared" si="2"/>
        <v>18.931895183818483</v>
      </c>
      <c r="S12" s="4">
        <f t="shared" si="3"/>
        <v>-0.18518518518518534</v>
      </c>
      <c r="T12" s="3">
        <f t="shared" si="4"/>
        <v>18.931895183818483</v>
      </c>
      <c r="U12" s="3">
        <f t="shared" si="5"/>
        <v>0.18518518518518534</v>
      </c>
    </row>
    <row r="13" spans="1:21" ht="12.75">
      <c r="A13">
        <f>C9/P11</f>
        <v>0.4932249322493225</v>
      </c>
      <c r="M13" s="25"/>
      <c r="R13" s="4"/>
      <c r="S13" s="4"/>
      <c r="T13" s="3"/>
      <c r="U13" s="3"/>
    </row>
    <row r="14" spans="2:21" ht="12.75">
      <c r="B14" s="25">
        <v>364</v>
      </c>
      <c r="C14">
        <f>C8/B14</f>
        <v>0.4532967032967033</v>
      </c>
      <c r="M14" s="25"/>
      <c r="R14" s="4"/>
      <c r="S14" s="4"/>
      <c r="T14" s="3"/>
      <c r="U14" s="3"/>
    </row>
    <row r="15" spans="2:21" s="20" customFormat="1" ht="12.75">
      <c r="B15" s="25">
        <f>1000/C15</f>
        <v>5.2631578947368425</v>
      </c>
      <c r="C15" s="20">
        <v>190</v>
      </c>
      <c r="D15" s="22"/>
      <c r="E15" s="22"/>
      <c r="F15" s="22"/>
      <c r="G15" s="37">
        <v>0.0011885</v>
      </c>
      <c r="H15" s="21"/>
      <c r="I15" s="21">
        <f>LN(G15)</f>
        <v>-6.735063271164026</v>
      </c>
      <c r="J15" s="37">
        <v>0.0008293626</v>
      </c>
      <c r="K15" s="21">
        <f>LN(J15)</f>
        <v>-7.094853104006902</v>
      </c>
      <c r="L15" s="37">
        <v>0.00126563072998679</v>
      </c>
      <c r="M15" s="25">
        <f t="shared" si="8"/>
        <v>-6.6721846802826486</v>
      </c>
      <c r="R15" s="41"/>
      <c r="S15" s="41"/>
      <c r="T15" s="42"/>
      <c r="U15" s="42"/>
    </row>
    <row r="16" spans="1:21" s="24" customFormat="1" ht="12.75">
      <c r="A16" s="25" t="s">
        <v>45</v>
      </c>
      <c r="B16" s="25">
        <f aca="true" t="shared" si="12" ref="B16:B26">1000/C16</f>
        <v>4.081632653061225</v>
      </c>
      <c r="C16" s="24">
        <v>245</v>
      </c>
      <c r="D16" s="26">
        <v>64</v>
      </c>
      <c r="E16" s="26">
        <v>39.6251</v>
      </c>
      <c r="F16" s="26">
        <f t="shared" si="9"/>
        <v>0.064</v>
      </c>
      <c r="G16" s="26">
        <f t="shared" si="10"/>
        <v>0.0396251</v>
      </c>
      <c r="H16" s="25">
        <f aca="true" t="shared" si="13" ref="H16:I18">LN(F16)</f>
        <v>-2.7488721956224653</v>
      </c>
      <c r="I16" s="25">
        <f t="shared" si="13"/>
        <v>-3.228292523128571</v>
      </c>
      <c r="J16" s="28">
        <v>0.02839489</v>
      </c>
      <c r="K16" s="25">
        <f t="shared" si="11"/>
        <v>-3.56154607958171</v>
      </c>
      <c r="L16" s="28">
        <v>0.0368007056665718</v>
      </c>
      <c r="M16" s="25">
        <f t="shared" si="8"/>
        <v>-3.302238258269044</v>
      </c>
      <c r="N16" s="24">
        <v>0.648</v>
      </c>
      <c r="O16" s="24">
        <v>0.65</v>
      </c>
      <c r="R16" s="43">
        <f t="shared" si="2"/>
        <v>61.51378797782212</v>
      </c>
      <c r="S16" s="43">
        <f t="shared" si="3"/>
        <v>-0.30769230769230793</v>
      </c>
      <c r="T16" s="44">
        <f t="shared" si="4"/>
        <v>61.51378797782212</v>
      </c>
      <c r="U16" s="44">
        <f t="shared" si="5"/>
        <v>0.30769230769230793</v>
      </c>
    </row>
    <row r="17" spans="1:21" s="24" customFormat="1" ht="12.75">
      <c r="A17" s="24" t="s">
        <v>40</v>
      </c>
      <c r="B17" s="25">
        <f t="shared" si="12"/>
        <v>3.690036900369004</v>
      </c>
      <c r="C17" s="24">
        <v>271</v>
      </c>
      <c r="D17" s="26">
        <v>190</v>
      </c>
      <c r="E17" s="26">
        <v>118.666</v>
      </c>
      <c r="F17" s="26">
        <f t="shared" si="9"/>
        <v>0.19</v>
      </c>
      <c r="G17" s="26">
        <f t="shared" si="10"/>
        <v>0.118666</v>
      </c>
      <c r="H17" s="25">
        <f t="shared" si="13"/>
        <v>-1.6607312068216509</v>
      </c>
      <c r="I17" s="25">
        <f t="shared" si="13"/>
        <v>-2.131442454791525</v>
      </c>
      <c r="J17" s="28">
        <v>0.0879612</v>
      </c>
      <c r="K17" s="25">
        <f t="shared" si="11"/>
        <v>-2.430859470823833</v>
      </c>
      <c r="L17" s="26">
        <v>0.105804627283407</v>
      </c>
      <c r="M17" s="25">
        <f t="shared" si="8"/>
        <v>-2.2461610243762724</v>
      </c>
      <c r="N17" s="24">
        <v>0.618</v>
      </c>
      <c r="O17" s="24">
        <v>0.62</v>
      </c>
      <c r="R17" s="43">
        <f t="shared" si="2"/>
        <v>60.11325906325317</v>
      </c>
      <c r="S17" s="43">
        <f t="shared" si="3"/>
        <v>-0.32258064516129065</v>
      </c>
      <c r="T17" s="44">
        <f t="shared" si="4"/>
        <v>60.11325906325317</v>
      </c>
      <c r="U17" s="44">
        <f t="shared" si="5"/>
        <v>0.32258064516129065</v>
      </c>
    </row>
    <row r="18" spans="1:21" s="24" customFormat="1" ht="12.75">
      <c r="A18" s="24">
        <v>86.1754</v>
      </c>
      <c r="B18" s="25">
        <f t="shared" si="12"/>
        <v>3.3783783783783785</v>
      </c>
      <c r="C18" s="24">
        <v>296</v>
      </c>
      <c r="D18" s="26">
        <v>400</v>
      </c>
      <c r="E18" s="26">
        <v>277.806</v>
      </c>
      <c r="F18" s="26">
        <f t="shared" si="9"/>
        <v>0.4</v>
      </c>
      <c r="G18" s="26">
        <f t="shared" si="10"/>
        <v>0.277806</v>
      </c>
      <c r="H18" s="25">
        <f t="shared" si="13"/>
        <v>-0.916290731874155</v>
      </c>
      <c r="I18" s="25">
        <f t="shared" si="13"/>
        <v>-1.2808322506229948</v>
      </c>
      <c r="J18" s="26">
        <v>0.21293376</v>
      </c>
      <c r="K18" s="25">
        <f t="shared" si="11"/>
        <v>-1.5467741475543524</v>
      </c>
      <c r="L18" s="26">
        <v>0.239992943241833</v>
      </c>
      <c r="M18" s="25">
        <f t="shared" si="8"/>
        <v>-1.4271457592314563</v>
      </c>
      <c r="N18" s="24">
        <v>0.588</v>
      </c>
      <c r="O18" s="24">
        <v>0.589</v>
      </c>
      <c r="P18" s="24">
        <v>422</v>
      </c>
      <c r="R18" s="43">
        <f t="shared" si="2"/>
        <v>43.98537108629764</v>
      </c>
      <c r="S18" s="43">
        <f t="shared" si="3"/>
        <v>-0.16977928692699507</v>
      </c>
      <c r="T18" s="44">
        <f t="shared" si="4"/>
        <v>43.98537108629764</v>
      </c>
      <c r="U18" s="44">
        <f t="shared" si="5"/>
        <v>0.16977928692699507</v>
      </c>
    </row>
    <row r="19" spans="1:21" s="24" customFormat="1" ht="12.75">
      <c r="A19" s="48">
        <v>204</v>
      </c>
      <c r="B19" s="25">
        <f t="shared" si="12"/>
        <v>3.1055900621118013</v>
      </c>
      <c r="C19" s="24">
        <v>322</v>
      </c>
      <c r="D19" s="26">
        <v>770</v>
      </c>
      <c r="E19" s="26">
        <v>577.2772</v>
      </c>
      <c r="F19" s="26">
        <f t="shared" si="9"/>
        <v>0.77</v>
      </c>
      <c r="G19" s="26">
        <f t="shared" si="10"/>
        <v>0.5772772</v>
      </c>
      <c r="H19" s="25">
        <f aca="true" t="shared" si="14" ref="H19:H26">LN(F19)</f>
        <v>-0.2613647641344075</v>
      </c>
      <c r="I19" s="25">
        <f aca="true" t="shared" si="15" ref="I19:I26">LN(G19)</f>
        <v>-0.5494327118922899</v>
      </c>
      <c r="J19" s="26">
        <v>0.456751788</v>
      </c>
      <c r="K19" s="25">
        <f t="shared" si="11"/>
        <v>-0.7836151691175616</v>
      </c>
      <c r="L19" s="26">
        <v>0.484814034206672</v>
      </c>
      <c r="M19" s="25">
        <f t="shared" si="8"/>
        <v>-0.7239898961999249</v>
      </c>
      <c r="N19" s="24">
        <v>0.552</v>
      </c>
      <c r="O19" s="24">
        <v>0.554</v>
      </c>
      <c r="R19" s="43">
        <f t="shared" si="2"/>
        <v>33.384793302073945</v>
      </c>
      <c r="S19" s="43">
        <f t="shared" si="3"/>
        <v>-0.36101083032491</v>
      </c>
      <c r="T19" s="44">
        <f t="shared" si="4"/>
        <v>33.384793302073945</v>
      </c>
      <c r="U19" s="44">
        <f t="shared" si="5"/>
        <v>0.36101083032491</v>
      </c>
    </row>
    <row r="20" spans="1:21" s="24" customFormat="1" ht="12.75">
      <c r="A20" s="50">
        <v>419</v>
      </c>
      <c r="B20" s="25">
        <f t="shared" si="12"/>
        <v>2.881844380403458</v>
      </c>
      <c r="C20" s="24">
        <v>347</v>
      </c>
      <c r="D20" s="26">
        <v>1320</v>
      </c>
      <c r="E20" s="26">
        <v>1046.372</v>
      </c>
      <c r="F20" s="26">
        <f t="shared" si="9"/>
        <v>1.32</v>
      </c>
      <c r="G20" s="26">
        <f t="shared" si="10"/>
        <v>1.046372</v>
      </c>
      <c r="H20" s="25">
        <f t="shared" si="14"/>
        <v>0.27763173659827955</v>
      </c>
      <c r="I20" s="25">
        <f t="shared" si="15"/>
        <v>0.04532894295299871</v>
      </c>
      <c r="J20" s="26">
        <v>0.84890048</v>
      </c>
      <c r="K20" s="25">
        <f t="shared" si="11"/>
        <v>-0.16381331980074967</v>
      </c>
      <c r="L20" s="26">
        <v>0.85664900755</v>
      </c>
      <c r="M20" s="25">
        <f t="shared" si="8"/>
        <v>-0.1547270037283115</v>
      </c>
      <c r="N20" s="24">
        <v>0.516</v>
      </c>
      <c r="O20" s="24">
        <v>0.516</v>
      </c>
      <c r="R20" s="43">
        <f t="shared" si="2"/>
        <v>26.15016456862377</v>
      </c>
      <c r="S20" s="43">
        <f t="shared" si="3"/>
        <v>0</v>
      </c>
      <c r="T20" s="44">
        <f t="shared" si="4"/>
        <v>26.15016456862377</v>
      </c>
      <c r="U20" s="44">
        <f t="shared" si="5"/>
        <v>0</v>
      </c>
    </row>
    <row r="21" spans="1:21" s="29" customFormat="1" ht="12.75">
      <c r="A21" s="29">
        <f>C15/A20</f>
        <v>0.45346062052505964</v>
      </c>
      <c r="B21" s="25">
        <f t="shared" si="12"/>
        <v>2.680965147453083</v>
      </c>
      <c r="C21" s="29">
        <v>373</v>
      </c>
      <c r="D21" s="31">
        <v>2300</v>
      </c>
      <c r="E21" s="31">
        <v>1786.465</v>
      </c>
      <c r="F21" s="31">
        <f t="shared" si="9"/>
        <v>2.3</v>
      </c>
      <c r="G21" s="31">
        <f t="shared" si="10"/>
        <v>1.786465</v>
      </c>
      <c r="H21" s="30">
        <f t="shared" si="14"/>
        <v>0.8329091229351039</v>
      </c>
      <c r="I21" s="30">
        <f t="shared" si="15"/>
        <v>0.5802388069096209</v>
      </c>
      <c r="J21" s="31">
        <v>1.47603614</v>
      </c>
      <c r="K21" s="30">
        <f t="shared" si="11"/>
        <v>0.38936021097337664</v>
      </c>
      <c r="L21" s="31">
        <v>1.42292672346271</v>
      </c>
      <c r="M21" s="25">
        <f t="shared" si="8"/>
        <v>0.35271582337755336</v>
      </c>
      <c r="N21" s="29">
        <v>0.467</v>
      </c>
      <c r="O21" s="29">
        <v>0.47</v>
      </c>
      <c r="R21" s="45">
        <f t="shared" si="2"/>
        <v>28.74587523405161</v>
      </c>
      <c r="S21" s="45">
        <f t="shared" si="3"/>
        <v>-0.6382978723404144</v>
      </c>
      <c r="T21" s="46">
        <f t="shared" si="4"/>
        <v>28.74587523405161</v>
      </c>
      <c r="U21" s="46">
        <f t="shared" si="5"/>
        <v>0.6382978723404144</v>
      </c>
    </row>
    <row r="22" spans="2:21" s="24" customFormat="1" ht="12.75">
      <c r="B22" s="25">
        <f t="shared" si="12"/>
        <v>3.8461538461538463</v>
      </c>
      <c r="C22" s="51">
        <v>260</v>
      </c>
      <c r="D22" s="26"/>
      <c r="E22" s="26"/>
      <c r="F22" s="12"/>
      <c r="G22" s="13">
        <v>0.00019483</v>
      </c>
      <c r="H22" s="10"/>
      <c r="I22" s="10">
        <f>LN(G22)</f>
        <v>-8.543383174506479</v>
      </c>
      <c r="J22" s="28">
        <v>0.0001808974</v>
      </c>
      <c r="K22" s="10">
        <f t="shared" si="11"/>
        <v>-8.617580538247848</v>
      </c>
      <c r="L22" s="13">
        <v>9.47150433103648E-05</v>
      </c>
      <c r="M22" s="25">
        <f t="shared" si="8"/>
        <v>-9.264637718113748</v>
      </c>
      <c r="R22" s="43"/>
      <c r="S22" s="43"/>
      <c r="T22" s="44"/>
      <c r="U22" s="44"/>
    </row>
    <row r="23" spans="1:21" ht="12.75">
      <c r="A23" s="10" t="s">
        <v>46</v>
      </c>
      <c r="B23" s="25">
        <f t="shared" si="12"/>
        <v>2.8901734104046244</v>
      </c>
      <c r="C23">
        <v>346</v>
      </c>
      <c r="D23" s="12">
        <v>33</v>
      </c>
      <c r="E23" s="12">
        <f>EXP($Q$23+$Q$24/C23+$Q$25*LN(C23)+$Q$26*C23^$Q$27)/1000</f>
        <v>20.894346351817838</v>
      </c>
      <c r="F23" s="12">
        <f t="shared" si="9"/>
        <v>0.033</v>
      </c>
      <c r="G23" s="12">
        <f>E23/1000</f>
        <v>0.020894346351817836</v>
      </c>
      <c r="H23" s="10">
        <f t="shared" si="14"/>
        <v>-3.4112477175156566</v>
      </c>
      <c r="I23" s="10">
        <f t="shared" si="15"/>
        <v>-3.8682766660880614</v>
      </c>
      <c r="J23" s="13">
        <v>0.0200297</v>
      </c>
      <c r="K23" s="10">
        <f t="shared" si="11"/>
        <v>-3.910539106950274</v>
      </c>
      <c r="L23" s="13">
        <v>0.00755388101824868</v>
      </c>
      <c r="M23" s="25">
        <f t="shared" si="8"/>
        <v>-4.885693805643468</v>
      </c>
      <c r="N23">
        <v>0.676</v>
      </c>
      <c r="O23">
        <f>$P$23/$P$24^(1+(1-C23/$P$25)^$P$26)*$P$27/1000</f>
        <v>0.6719656227671003</v>
      </c>
      <c r="P23">
        <v>0.5634</v>
      </c>
      <c r="Q23">
        <v>103.37</v>
      </c>
      <c r="R23" s="4">
        <f aca="true" t="shared" si="16" ref="R23:R50">(D23-E23)/E23*100</f>
        <v>57.93746042277582</v>
      </c>
      <c r="S23" s="4">
        <f aca="true" t="shared" si="17" ref="S23:S47">(N23-O23)/O23*100</f>
        <v>0.6003844685218491</v>
      </c>
      <c r="T23" s="3">
        <f aca="true" t="shared" si="18" ref="T23:T50">ABS(R23)</f>
        <v>57.93746042277582</v>
      </c>
      <c r="U23" s="3">
        <f aca="true" t="shared" si="19" ref="U23:U47">ABS(S23)</f>
        <v>0.6003844685218491</v>
      </c>
    </row>
    <row r="24" spans="1:21" ht="12.75">
      <c r="A24" t="s">
        <v>40</v>
      </c>
      <c r="B24" s="25">
        <f t="shared" si="12"/>
        <v>2.544529262086514</v>
      </c>
      <c r="C24">
        <v>393</v>
      </c>
      <c r="D24" s="12">
        <v>130</v>
      </c>
      <c r="E24" s="12">
        <f>EXP($Q$23+$Q$24/C24+$Q$25*LN(C24)+$Q$26*C24^$Q$27)/1000</f>
        <v>97.4908894888895</v>
      </c>
      <c r="F24" s="12">
        <f t="shared" si="9"/>
        <v>0.13</v>
      </c>
      <c r="G24" s="12">
        <f>E24/1000</f>
        <v>0.0974908894888895</v>
      </c>
      <c r="H24" s="10">
        <f t="shared" si="14"/>
        <v>-2.0402208285265546</v>
      </c>
      <c r="I24" s="10">
        <f t="shared" si="15"/>
        <v>-2.327996346483826</v>
      </c>
      <c r="J24" s="13">
        <v>0.097425325</v>
      </c>
      <c r="K24" s="10">
        <f t="shared" si="11"/>
        <v>-2.3286690918635187</v>
      </c>
      <c r="L24" s="13">
        <v>0.0335908039421561</v>
      </c>
      <c r="M24" s="25">
        <f t="shared" si="8"/>
        <v>-3.3935029416712585</v>
      </c>
      <c r="N24">
        <v>0.63</v>
      </c>
      <c r="O24">
        <f>$P$23/$P$24^(1+(1-C24/$P$25)^$P$26)*$P$27/1000</f>
        <v>0.6295378221108703</v>
      </c>
      <c r="P24">
        <v>0.26363</v>
      </c>
      <c r="Q24">
        <v>-8042.6</v>
      </c>
      <c r="R24" s="4">
        <f t="shared" si="16"/>
        <v>33.34579331622099</v>
      </c>
      <c r="S24" s="4">
        <f t="shared" si="17"/>
        <v>0.07341542841381919</v>
      </c>
      <c r="T24" s="3">
        <f t="shared" si="18"/>
        <v>33.34579331622099</v>
      </c>
      <c r="U24" s="3">
        <f t="shared" si="19"/>
        <v>0.07341542841381919</v>
      </c>
    </row>
    <row r="25" spans="1:21" ht="12.75">
      <c r="A25" s="47">
        <v>250</v>
      </c>
      <c r="B25" s="25">
        <f t="shared" si="12"/>
        <v>2.2675736961451247</v>
      </c>
      <c r="C25">
        <v>441</v>
      </c>
      <c r="D25" s="12">
        <v>390</v>
      </c>
      <c r="E25" s="12">
        <f>EXP($Q$23+$Q$24/C25+$Q$25*LN(C25)+$Q$26*C25^$Q$27)/1000</f>
        <v>318.37647311030247</v>
      </c>
      <c r="F25" s="12">
        <f t="shared" si="9"/>
        <v>0.39</v>
      </c>
      <c r="G25" s="12">
        <f>E25/1000</f>
        <v>0.3183764731103025</v>
      </c>
      <c r="H25" s="10">
        <f t="shared" si="14"/>
        <v>-0.941608539858445</v>
      </c>
      <c r="I25" s="10">
        <f t="shared" si="15"/>
        <v>-1.1445207187272133</v>
      </c>
      <c r="J25" s="12">
        <v>0.3281187</v>
      </c>
      <c r="K25" s="10">
        <f t="shared" si="11"/>
        <v>-1.1143798458205714</v>
      </c>
      <c r="L25" s="12">
        <v>0.106664576351287</v>
      </c>
      <c r="M25" s="25">
        <f t="shared" si="8"/>
        <v>-2.238066168755177</v>
      </c>
      <c r="N25">
        <v>0.58</v>
      </c>
      <c r="O25">
        <f>$P$23/$P$24^(1+(1-C25/$P$25)^$P$26)*$P$27/1000</f>
        <v>0.580240301939782</v>
      </c>
      <c r="P25">
        <v>567</v>
      </c>
      <c r="Q25">
        <v>-12.188</v>
      </c>
      <c r="R25" s="4">
        <f t="shared" si="16"/>
        <v>22.496488572157574</v>
      </c>
      <c r="S25" s="4">
        <f t="shared" si="17"/>
        <v>-0.04141421045362385</v>
      </c>
      <c r="T25" s="3">
        <f t="shared" si="18"/>
        <v>22.496488572157574</v>
      </c>
      <c r="U25" s="3">
        <f t="shared" si="19"/>
        <v>0.04141421045362385</v>
      </c>
    </row>
    <row r="26" spans="2:21" ht="12.75">
      <c r="B26" s="25">
        <f t="shared" si="12"/>
        <v>2.0242914979757085</v>
      </c>
      <c r="C26">
        <v>494</v>
      </c>
      <c r="D26" s="12">
        <v>1120</v>
      </c>
      <c r="E26" s="12">
        <f>EXP($Q$23+$Q$24/C26+$Q$25*LN(C26)+$Q$26*C26^$Q$27)/1000</f>
        <v>882.637377027286</v>
      </c>
      <c r="F26" s="12">
        <f t="shared" si="9"/>
        <v>1.12</v>
      </c>
      <c r="G26" s="12">
        <f>E26/1000</f>
        <v>0.882637377027286</v>
      </c>
      <c r="H26" s="10">
        <f t="shared" si="14"/>
        <v>0.11332868530700327</v>
      </c>
      <c r="I26" s="10">
        <f t="shared" si="15"/>
        <v>-0.12484083427010664</v>
      </c>
      <c r="J26" s="13">
        <v>0.919583</v>
      </c>
      <c r="K26" s="10">
        <f t="shared" si="11"/>
        <v>-0.08383497256237485</v>
      </c>
      <c r="L26" s="12">
        <v>0.286263264603624</v>
      </c>
      <c r="M26" s="25">
        <f t="shared" si="8"/>
        <v>-1.2508433859606825</v>
      </c>
      <c r="N26">
        <v>0.512</v>
      </c>
      <c r="O26">
        <f>$P$23/$P$24^(1+(1-C26/$P$25)^$P$26)*$P$27/1000</f>
        <v>0.5133293226835653</v>
      </c>
      <c r="P26">
        <v>0.27348</v>
      </c>
      <c r="Q26">
        <v>9.0058E-06</v>
      </c>
      <c r="R26" s="4">
        <f t="shared" si="16"/>
        <v>26.892428210116027</v>
      </c>
      <c r="S26" s="4">
        <f t="shared" si="17"/>
        <v>-0.2589609875812178</v>
      </c>
      <c r="T26" s="3">
        <f t="shared" si="18"/>
        <v>26.892428210116027</v>
      </c>
      <c r="U26" s="3">
        <f t="shared" si="19"/>
        <v>0.2589609875812178</v>
      </c>
    </row>
    <row r="27" spans="1:21" ht="12.75">
      <c r="A27">
        <f>C23/P25</f>
        <v>0.6102292768959435</v>
      </c>
      <c r="B27" s="25" t="e">
        <f>1/C27</f>
        <v>#DIV/0!</v>
      </c>
      <c r="M27" s="25"/>
      <c r="P27">
        <v>112.2126</v>
      </c>
      <c r="Q27">
        <v>2</v>
      </c>
      <c r="R27" s="4"/>
      <c r="S27" s="4"/>
      <c r="T27" s="3"/>
      <c r="U27" s="3"/>
    </row>
    <row r="28" spans="1:21" ht="12.75">
      <c r="A28" s="52">
        <v>567</v>
      </c>
      <c r="B28" s="25">
        <f>1/C28</f>
        <v>2.180769230769231</v>
      </c>
      <c r="C28">
        <f>C22/A28</f>
        <v>0.4585537918871252</v>
      </c>
      <c r="M28" s="25"/>
      <c r="R28" s="4"/>
      <c r="S28" s="4"/>
      <c r="T28" s="3"/>
      <c r="U28" s="3"/>
    </row>
    <row r="29" spans="1:21" s="53" customFormat="1" ht="12.75">
      <c r="A29" s="53" t="s">
        <v>47</v>
      </c>
      <c r="B29" s="54">
        <f>1000/C29</f>
        <v>3.952569169960474</v>
      </c>
      <c r="C29" s="53">
        <v>253</v>
      </c>
      <c r="D29" s="53">
        <v>81</v>
      </c>
      <c r="E29" s="53">
        <v>59.0781</v>
      </c>
      <c r="F29" s="53">
        <f aca="true" t="shared" si="20" ref="F29:G33">D29/1000</f>
        <v>0.081</v>
      </c>
      <c r="G29" s="53">
        <f t="shared" si="20"/>
        <v>0.0590781</v>
      </c>
      <c r="H29" s="63">
        <f>LN(F29)</f>
        <v>-2.513306124309698</v>
      </c>
      <c r="I29" s="63">
        <f>LN(G29)</f>
        <v>-2.8288949816194395</v>
      </c>
      <c r="J29" s="64">
        <v>0.04393482</v>
      </c>
      <c r="K29" s="63">
        <f t="shared" si="11"/>
        <v>-3.1250481070041434</v>
      </c>
      <c r="L29" s="65">
        <v>0.0684801293998286</v>
      </c>
      <c r="M29" s="54">
        <f t="shared" si="8"/>
        <v>-2.681211657550135</v>
      </c>
      <c r="N29" s="53">
        <v>0.642</v>
      </c>
      <c r="O29" s="53">
        <v>0.642</v>
      </c>
      <c r="P29" s="53">
        <v>0.58711</v>
      </c>
      <c r="Q29" s="53">
        <v>102.81</v>
      </c>
      <c r="R29" s="55">
        <f t="shared" si="16"/>
        <v>37.10664357858496</v>
      </c>
      <c r="S29" s="55">
        <f t="shared" si="17"/>
        <v>0</v>
      </c>
      <c r="T29" s="56">
        <f t="shared" si="18"/>
        <v>37.10664357858496</v>
      </c>
      <c r="U29" s="56">
        <f t="shared" si="19"/>
        <v>0</v>
      </c>
    </row>
    <row r="30" spans="1:21" s="54" customFormat="1" ht="12.75">
      <c r="A30" s="57">
        <v>207</v>
      </c>
      <c r="B30" s="54">
        <f aca="true" t="shared" si="21" ref="B30:B42">1000/C30</f>
        <v>3.6496350364963503</v>
      </c>
      <c r="C30" s="54">
        <v>274</v>
      </c>
      <c r="D30" s="54">
        <v>190</v>
      </c>
      <c r="E30" s="54">
        <v>136.5745</v>
      </c>
      <c r="F30" s="53">
        <f t="shared" si="20"/>
        <v>0.19</v>
      </c>
      <c r="G30" s="53">
        <f t="shared" si="20"/>
        <v>0.1365745</v>
      </c>
      <c r="H30" s="63">
        <f aca="true" t="shared" si="22" ref="H30:H37">LN(F30)</f>
        <v>-1.6607312068216509</v>
      </c>
      <c r="I30" s="63">
        <f aca="true" t="shared" si="23" ref="I30:I37">LN(G30)</f>
        <v>-1.9908850256991861</v>
      </c>
      <c r="J30" s="54">
        <v>0.103009059</v>
      </c>
      <c r="K30" s="63">
        <f t="shared" si="11"/>
        <v>-2.2729383431636934</v>
      </c>
      <c r="L30" s="63">
        <v>0.152760328441283</v>
      </c>
      <c r="M30" s="54">
        <f t="shared" si="8"/>
        <v>-1.8788850665794568</v>
      </c>
      <c r="N30" s="54">
        <v>0.618</v>
      </c>
      <c r="O30" s="54">
        <v>0.618</v>
      </c>
      <c r="P30" s="54">
        <v>0.25583</v>
      </c>
      <c r="Q30" s="54">
        <v>-8674.6</v>
      </c>
      <c r="R30" s="58">
        <f t="shared" si="16"/>
        <v>39.118210207615626</v>
      </c>
      <c r="S30" s="58">
        <f t="shared" si="17"/>
        <v>0</v>
      </c>
      <c r="T30" s="59">
        <f t="shared" si="18"/>
        <v>39.118210207615626</v>
      </c>
      <c r="U30" s="59">
        <f t="shared" si="19"/>
        <v>0</v>
      </c>
    </row>
    <row r="31" spans="2:21" s="54" customFormat="1" ht="12.75">
      <c r="B31" s="54">
        <f t="shared" si="21"/>
        <v>3.3444816053511706</v>
      </c>
      <c r="C31" s="54">
        <v>299</v>
      </c>
      <c r="D31" s="54">
        <v>410</v>
      </c>
      <c r="E31" s="54">
        <v>311.374</v>
      </c>
      <c r="F31" s="53">
        <f t="shared" si="20"/>
        <v>0.41</v>
      </c>
      <c r="G31" s="53">
        <f t="shared" si="20"/>
        <v>0.31137400000000004</v>
      </c>
      <c r="H31" s="63">
        <f t="shared" si="22"/>
        <v>-0.8915981192837836</v>
      </c>
      <c r="I31" s="63">
        <f t="shared" si="23"/>
        <v>-1.1667605169665713</v>
      </c>
      <c r="J31" s="54">
        <v>0.240233327</v>
      </c>
      <c r="K31" s="63">
        <f t="shared" si="11"/>
        <v>-1.4261446320831097</v>
      </c>
      <c r="L31" s="63">
        <v>0.336629803555384</v>
      </c>
      <c r="M31" s="54">
        <f t="shared" si="8"/>
        <v>-1.0887714581998384</v>
      </c>
      <c r="N31" s="54">
        <v>0.586</v>
      </c>
      <c r="O31" s="54">
        <v>0.588</v>
      </c>
      <c r="P31" s="54">
        <v>631</v>
      </c>
      <c r="Q31" s="54">
        <v>-11.922</v>
      </c>
      <c r="R31" s="58">
        <f t="shared" si="16"/>
        <v>31.674449375991564</v>
      </c>
      <c r="S31" s="58">
        <f t="shared" si="17"/>
        <v>-0.34013605442176903</v>
      </c>
      <c r="T31" s="59">
        <f t="shared" si="18"/>
        <v>31.674449375991564</v>
      </c>
      <c r="U31" s="59">
        <f t="shared" si="19"/>
        <v>0.34013605442176903</v>
      </c>
    </row>
    <row r="32" spans="2:21" s="54" customFormat="1" ht="12.75">
      <c r="B32" s="54">
        <f t="shared" si="21"/>
        <v>3.0395136778115504</v>
      </c>
      <c r="C32" s="54">
        <v>329</v>
      </c>
      <c r="D32" s="54">
        <v>820</v>
      </c>
      <c r="E32" s="54">
        <v>699.5824</v>
      </c>
      <c r="F32" s="53">
        <f t="shared" si="20"/>
        <v>0.82</v>
      </c>
      <c r="G32" s="53">
        <f t="shared" si="20"/>
        <v>0.6995824</v>
      </c>
      <c r="H32" s="63">
        <f t="shared" si="22"/>
        <v>-0.19845093872383832</v>
      </c>
      <c r="I32" s="63">
        <f t="shared" si="23"/>
        <v>-0.3572716933868429</v>
      </c>
      <c r="J32" s="54">
        <v>0.55424921</v>
      </c>
      <c r="K32" s="63">
        <f t="shared" si="11"/>
        <v>-0.5901408558363034</v>
      </c>
      <c r="L32" s="63">
        <v>0.73023390366472</v>
      </c>
      <c r="M32" s="54">
        <f t="shared" si="8"/>
        <v>-0.3143903801828689</v>
      </c>
      <c r="N32" s="54">
        <v>0.545</v>
      </c>
      <c r="O32" s="54">
        <v>0.548</v>
      </c>
      <c r="P32" s="54">
        <v>0.28498</v>
      </c>
      <c r="Q32" s="54">
        <v>7.0048E-06</v>
      </c>
      <c r="R32" s="58">
        <f t="shared" si="16"/>
        <v>17.212782940222624</v>
      </c>
      <c r="S32" s="58">
        <f t="shared" si="17"/>
        <v>-0.547445255474453</v>
      </c>
      <c r="T32" s="59">
        <f t="shared" si="18"/>
        <v>17.212782940222624</v>
      </c>
      <c r="U32" s="59">
        <f t="shared" si="19"/>
        <v>0.547445255474453</v>
      </c>
    </row>
    <row r="33" spans="1:21" s="60" customFormat="1" ht="12.75">
      <c r="A33" s="60">
        <f>C29/P31</f>
        <v>0.4009508716323296</v>
      </c>
      <c r="B33" s="54">
        <f t="shared" si="21"/>
        <v>2.857142857142857</v>
      </c>
      <c r="C33" s="60">
        <v>350</v>
      </c>
      <c r="D33" s="60">
        <v>1360</v>
      </c>
      <c r="E33" s="60">
        <v>1132.99</v>
      </c>
      <c r="F33" s="53">
        <f t="shared" si="20"/>
        <v>1.36</v>
      </c>
      <c r="G33" s="53">
        <f t="shared" si="20"/>
        <v>1.13299</v>
      </c>
      <c r="H33" s="63">
        <f t="shared" si="22"/>
        <v>0.3074846997479607</v>
      </c>
      <c r="I33" s="63">
        <f t="shared" si="23"/>
        <v>0.12486015588158776</v>
      </c>
      <c r="J33" s="60">
        <v>0.9102893</v>
      </c>
      <c r="K33" s="63">
        <f t="shared" si="11"/>
        <v>-0.09399281790666938</v>
      </c>
      <c r="L33" s="63">
        <v>1.15413129488156</v>
      </c>
      <c r="M33" s="54">
        <f t="shared" si="8"/>
        <v>0.14334793534168988</v>
      </c>
      <c r="N33" s="60">
        <v>0.514</v>
      </c>
      <c r="O33" s="60">
        <v>0.516</v>
      </c>
      <c r="P33" s="60">
        <v>120.1916</v>
      </c>
      <c r="Q33" s="60">
        <v>2</v>
      </c>
      <c r="R33" s="61">
        <f t="shared" si="16"/>
        <v>20.036363957316482</v>
      </c>
      <c r="S33" s="61">
        <f t="shared" si="17"/>
        <v>-0.38759689922480656</v>
      </c>
      <c r="T33" s="62">
        <f t="shared" si="18"/>
        <v>20.036363957316482</v>
      </c>
      <c r="U33" s="62">
        <f t="shared" si="19"/>
        <v>0.38759689922480656</v>
      </c>
    </row>
    <row r="34" spans="1:21" s="63" customFormat="1" ht="12.75">
      <c r="A34" s="63" t="s">
        <v>48</v>
      </c>
      <c r="B34" s="54">
        <f t="shared" si="21"/>
        <v>4.081632653061225</v>
      </c>
      <c r="C34" s="63">
        <v>245</v>
      </c>
      <c r="D34" s="63">
        <v>47</v>
      </c>
      <c r="E34" s="63">
        <f>EXP($Q$34+$Q$35/C34+$Q$36*LN(C34)+$Q$37*C34^$Q$38)/1000</f>
        <v>25.05294332256763</v>
      </c>
      <c r="F34" s="53">
        <f aca="true" t="shared" si="24" ref="F34:F42">D34/1000</f>
        <v>0.047</v>
      </c>
      <c r="G34" s="53">
        <f aca="true" t="shared" si="25" ref="G34:G42">E34/1000</f>
        <v>0.02505294332256763</v>
      </c>
      <c r="H34" s="63">
        <f t="shared" si="22"/>
        <v>-3.0576076772720784</v>
      </c>
      <c r="I34" s="63">
        <f t="shared" si="23"/>
        <v>-3.68676396044671</v>
      </c>
      <c r="J34" s="65">
        <v>0.02351823</v>
      </c>
      <c r="K34" s="63">
        <f t="shared" si="11"/>
        <v>-3.749979413885559</v>
      </c>
      <c r="L34" s="65">
        <v>0.0424313601048299</v>
      </c>
      <c r="M34" s="54">
        <f t="shared" si="8"/>
        <v>-3.159867565018172</v>
      </c>
      <c r="N34" s="63">
        <v>0.676</v>
      </c>
      <c r="O34" s="63">
        <f>$P$34/$P$35^(1+(1-C34/$P$36)^$P$37)*$P$38/1000</f>
        <v>0.6760915709311316</v>
      </c>
      <c r="P34" s="63">
        <v>1.1591</v>
      </c>
      <c r="Q34" s="63">
        <v>72.541</v>
      </c>
      <c r="R34" s="66">
        <f t="shared" si="16"/>
        <v>87.60270757353496</v>
      </c>
      <c r="S34" s="66">
        <f t="shared" si="17"/>
        <v>-0.013544161038042828</v>
      </c>
      <c r="T34" s="67">
        <f t="shared" si="18"/>
        <v>87.60270757353496</v>
      </c>
      <c r="U34" s="67">
        <f t="shared" si="19"/>
        <v>0.013544161038042828</v>
      </c>
    </row>
    <row r="35" spans="1:21" s="63" customFormat="1" ht="12.75">
      <c r="A35" s="68">
        <v>205</v>
      </c>
      <c r="B35" s="54">
        <f t="shared" si="21"/>
        <v>3.389830508474576</v>
      </c>
      <c r="C35" s="63">
        <v>295</v>
      </c>
      <c r="D35" s="63">
        <v>290</v>
      </c>
      <c r="E35" s="63">
        <f>EXP($Q$34+$Q$35/C35+$Q$36*LN(C35)+$Q$37*C35^$Q$38)/1000</f>
        <v>193.3945566220616</v>
      </c>
      <c r="F35" s="53">
        <f t="shared" si="24"/>
        <v>0.29</v>
      </c>
      <c r="G35" s="53">
        <f t="shared" si="25"/>
        <v>0.1933945566220616</v>
      </c>
      <c r="H35" s="63">
        <f t="shared" si="22"/>
        <v>-1.2378743560016174</v>
      </c>
      <c r="I35" s="63">
        <f t="shared" si="23"/>
        <v>-1.6430228420567574</v>
      </c>
      <c r="J35" s="63">
        <v>0.1696711</v>
      </c>
      <c r="K35" s="63">
        <f t="shared" si="11"/>
        <v>-1.7738934217750861</v>
      </c>
      <c r="L35" s="63">
        <v>0.274716197212178</v>
      </c>
      <c r="M35" s="54">
        <f t="shared" si="8"/>
        <v>-1.2920167243422251</v>
      </c>
      <c r="N35" s="63">
        <v>0.62</v>
      </c>
      <c r="O35" s="63">
        <f>$P$34/$P$35^(1+(1-C35/$P$36)^$P$37)*$P$38/1000</f>
        <v>0.6210431148537805</v>
      </c>
      <c r="P35" s="63">
        <v>0.27085</v>
      </c>
      <c r="Q35" s="63">
        <v>-4691.2</v>
      </c>
      <c r="R35" s="66">
        <f t="shared" si="16"/>
        <v>49.952514209967205</v>
      </c>
      <c r="S35" s="66">
        <f t="shared" si="17"/>
        <v>-0.16796174514004478</v>
      </c>
      <c r="T35" s="67">
        <f t="shared" si="18"/>
        <v>49.952514209967205</v>
      </c>
      <c r="U35" s="67">
        <f t="shared" si="19"/>
        <v>0.16796174514004478</v>
      </c>
    </row>
    <row r="36" spans="2:21" s="63" customFormat="1" ht="12.75">
      <c r="B36" s="54">
        <f t="shared" si="21"/>
        <v>3.1055900621118013</v>
      </c>
      <c r="C36" s="63">
        <v>322</v>
      </c>
      <c r="D36" s="63">
        <v>560</v>
      </c>
      <c r="E36" s="63">
        <f>EXP($Q$34+$Q$35/C36+$Q$36*LN(C36)+$Q$37*C36^$Q$38)/1000</f>
        <v>433.6483377244883</v>
      </c>
      <c r="F36" s="53">
        <f t="shared" si="24"/>
        <v>0.56</v>
      </c>
      <c r="G36" s="53">
        <f t="shared" si="25"/>
        <v>0.4336483377244883</v>
      </c>
      <c r="H36" s="63">
        <f t="shared" si="22"/>
        <v>-0.579818495252942</v>
      </c>
      <c r="I36" s="63">
        <f t="shared" si="23"/>
        <v>-0.8355213550782321</v>
      </c>
      <c r="J36" s="63">
        <v>0.37595119</v>
      </c>
      <c r="K36" s="63">
        <f t="shared" si="11"/>
        <v>-0.9782959578485743</v>
      </c>
      <c r="L36" s="63">
        <v>0.575781628637547</v>
      </c>
      <c r="M36" s="54">
        <f t="shared" si="8"/>
        <v>-0.5520268071179479</v>
      </c>
      <c r="N36" s="63">
        <v>0.587</v>
      </c>
      <c r="O36" s="63">
        <f>$P$34/$P$35^(1+(1-C36/$P$36)^$P$37)*$P$38/1000</f>
        <v>0.5876065007171558</v>
      </c>
      <c r="P36" s="63">
        <v>435.5</v>
      </c>
      <c r="Q36" s="63">
        <v>-7.9776</v>
      </c>
      <c r="R36" s="66">
        <f t="shared" si="16"/>
        <v>29.1368953328693</v>
      </c>
      <c r="S36" s="66">
        <f t="shared" si="17"/>
        <v>-0.10321545395015692</v>
      </c>
      <c r="T36" s="67">
        <f t="shared" si="18"/>
        <v>29.1368953328693</v>
      </c>
      <c r="U36" s="67">
        <f t="shared" si="19"/>
        <v>0.10321545395015692</v>
      </c>
    </row>
    <row r="37" spans="2:21" s="63" customFormat="1" ht="12.75">
      <c r="B37" s="54">
        <f t="shared" si="21"/>
        <v>2.680965147453083</v>
      </c>
      <c r="C37" s="63">
        <v>373</v>
      </c>
      <c r="D37" s="63">
        <v>1840</v>
      </c>
      <c r="E37" s="63">
        <f>EXP($Q$34+$Q$35/C37+$Q$36*LN(C37)+$Q$37*C37^$Q$38)/1000</f>
        <v>1420.5600762625875</v>
      </c>
      <c r="F37" s="53">
        <f t="shared" si="24"/>
        <v>1.84</v>
      </c>
      <c r="G37" s="53">
        <f t="shared" si="25"/>
        <v>1.4205600762625874</v>
      </c>
      <c r="H37" s="63">
        <f t="shared" si="22"/>
        <v>0.6097655716208943</v>
      </c>
      <c r="I37" s="63">
        <f t="shared" si="23"/>
        <v>0.35105121375331677</v>
      </c>
      <c r="J37" s="63">
        <v>1.218487</v>
      </c>
      <c r="K37" s="63">
        <f t="shared" si="11"/>
        <v>0.19760992517106152</v>
      </c>
      <c r="L37" s="63">
        <v>1.7052693736439</v>
      </c>
      <c r="M37" s="54">
        <f t="shared" si="8"/>
        <v>0.5337230886632895</v>
      </c>
      <c r="N37" s="63">
        <v>0.513</v>
      </c>
      <c r="O37" s="63">
        <f>$P$34/$P$35^(1+(1-C37/$P$36)^$P$37)*$P$38/1000</f>
        <v>0.511752934794608</v>
      </c>
      <c r="P37" s="63">
        <v>0.28116</v>
      </c>
      <c r="Q37" s="63">
        <v>1.0368E-05</v>
      </c>
      <c r="R37" s="66">
        <f t="shared" si="16"/>
        <v>29.526377007647227</v>
      </c>
      <c r="S37" s="66">
        <f t="shared" si="17"/>
        <v>0.24368501294330286</v>
      </c>
      <c r="T37" s="67">
        <f t="shared" si="18"/>
        <v>29.526377007647227</v>
      </c>
      <c r="U37" s="67">
        <f t="shared" si="19"/>
        <v>0.24368501294330286</v>
      </c>
    </row>
    <row r="38" spans="1:21" s="63" customFormat="1" ht="12.75">
      <c r="A38" s="63">
        <f>C34/P36</f>
        <v>0.5625717566016073</v>
      </c>
      <c r="B38" s="54" t="e">
        <f t="shared" si="21"/>
        <v>#DIV/0!</v>
      </c>
      <c r="F38" s="53"/>
      <c r="G38" s="53"/>
      <c r="M38" s="54"/>
      <c r="P38" s="63">
        <v>56.1063</v>
      </c>
      <c r="Q38" s="63">
        <v>2</v>
      </c>
      <c r="R38" s="66"/>
      <c r="S38" s="66"/>
      <c r="T38" s="67"/>
      <c r="U38" s="67"/>
    </row>
    <row r="39" spans="1:21" s="53" customFormat="1" ht="12.75">
      <c r="A39" s="53" t="s">
        <v>49</v>
      </c>
      <c r="B39" s="54">
        <f t="shared" si="21"/>
        <v>4.048582995951417</v>
      </c>
      <c r="C39" s="53">
        <v>247</v>
      </c>
      <c r="D39" s="53">
        <v>58</v>
      </c>
      <c r="E39" s="53">
        <v>31.7963</v>
      </c>
      <c r="F39" s="53">
        <f t="shared" si="24"/>
        <v>0.058</v>
      </c>
      <c r="G39" s="53">
        <f t="shared" si="25"/>
        <v>0.0317963</v>
      </c>
      <c r="H39" s="63">
        <f aca="true" t="shared" si="26" ref="H39:H50">LN(F39)</f>
        <v>-2.8473122684357177</v>
      </c>
      <c r="I39" s="63">
        <f aca="true" t="shared" si="27" ref="I39:I50">LN(G39)</f>
        <v>-3.4484053481667063</v>
      </c>
      <c r="J39" s="64">
        <v>0.0258812919</v>
      </c>
      <c r="K39" s="63">
        <f t="shared" si="11"/>
        <v>-3.6542348917390823</v>
      </c>
      <c r="L39" s="65">
        <v>0.0465026859178735</v>
      </c>
      <c r="M39" s="54">
        <f t="shared" si="8"/>
        <v>-3.0682452063822687</v>
      </c>
      <c r="N39" s="53">
        <v>0.651</v>
      </c>
      <c r="O39" s="53">
        <v>0.655</v>
      </c>
      <c r="P39" s="53">
        <v>0.68902</v>
      </c>
      <c r="Q39" s="53">
        <v>85.099</v>
      </c>
      <c r="R39" s="55">
        <f t="shared" si="16"/>
        <v>82.41116104704007</v>
      </c>
      <c r="S39" s="55">
        <f t="shared" si="17"/>
        <v>-0.6106870229007638</v>
      </c>
      <c r="T39" s="56">
        <f t="shared" si="18"/>
        <v>82.41116104704007</v>
      </c>
      <c r="U39" s="56">
        <f t="shared" si="19"/>
        <v>0.6106870229007638</v>
      </c>
    </row>
    <row r="40" spans="1:21" s="54" customFormat="1" ht="12.75">
      <c r="A40" s="57">
        <v>206</v>
      </c>
      <c r="B40" s="54">
        <f t="shared" si="21"/>
        <v>3.676470588235294</v>
      </c>
      <c r="C40" s="54">
        <v>272</v>
      </c>
      <c r="D40" s="54">
        <v>145</v>
      </c>
      <c r="E40" s="54">
        <v>93.8802</v>
      </c>
      <c r="F40" s="53">
        <f t="shared" si="24"/>
        <v>0.145</v>
      </c>
      <c r="G40" s="53">
        <f t="shared" si="25"/>
        <v>0.0938802</v>
      </c>
      <c r="H40" s="63">
        <f t="shared" si="26"/>
        <v>-1.9310215365615626</v>
      </c>
      <c r="I40" s="63">
        <f t="shared" si="27"/>
        <v>-2.365735777622376</v>
      </c>
      <c r="J40" s="69">
        <v>0.0753575021</v>
      </c>
      <c r="K40" s="63">
        <f t="shared" si="11"/>
        <v>-2.5855117954948006</v>
      </c>
      <c r="L40" s="63">
        <v>0.12828359003388</v>
      </c>
      <c r="M40" s="54">
        <f t="shared" si="8"/>
        <v>-2.053511918628295</v>
      </c>
      <c r="N40" s="54">
        <v>0.623</v>
      </c>
      <c r="O40" s="54">
        <v>0.628</v>
      </c>
      <c r="P40" s="54">
        <v>0.26086</v>
      </c>
      <c r="Q40" s="54">
        <v>-7615.9</v>
      </c>
      <c r="R40" s="58">
        <f t="shared" si="16"/>
        <v>54.45216350199509</v>
      </c>
      <c r="S40" s="58">
        <f t="shared" si="17"/>
        <v>-0.7961783439490453</v>
      </c>
      <c r="T40" s="59">
        <f t="shared" si="18"/>
        <v>54.45216350199509</v>
      </c>
      <c r="U40" s="59">
        <f t="shared" si="19"/>
        <v>0.7961783439490453</v>
      </c>
    </row>
    <row r="41" spans="2:21" s="54" customFormat="1" ht="12.75">
      <c r="B41" s="54">
        <f t="shared" si="21"/>
        <v>3.0959752321981426</v>
      </c>
      <c r="C41" s="54">
        <v>323</v>
      </c>
      <c r="D41" s="54">
        <v>670</v>
      </c>
      <c r="E41" s="54">
        <v>480.9798</v>
      </c>
      <c r="F41" s="53">
        <f t="shared" si="24"/>
        <v>0.67</v>
      </c>
      <c r="G41" s="53">
        <f t="shared" si="25"/>
        <v>0.4809798</v>
      </c>
      <c r="H41" s="63">
        <f t="shared" si="26"/>
        <v>-0.40047756659712525</v>
      </c>
      <c r="I41" s="63">
        <f t="shared" si="27"/>
        <v>-0.7319300056002217</v>
      </c>
      <c r="J41" s="54">
        <v>0.386151317</v>
      </c>
      <c r="K41" s="63">
        <f t="shared" si="11"/>
        <v>-0.9515259733809412</v>
      </c>
      <c r="L41" s="63">
        <v>0.590242598283733</v>
      </c>
      <c r="M41" s="54">
        <f t="shared" si="8"/>
        <v>-0.5272216430634034</v>
      </c>
      <c r="N41" s="54">
        <v>0.562</v>
      </c>
      <c r="O41" s="54">
        <v>0.568</v>
      </c>
      <c r="P41" s="54">
        <v>617</v>
      </c>
      <c r="Q41" s="54">
        <v>-9.3072</v>
      </c>
      <c r="R41" s="58">
        <f t="shared" si="16"/>
        <v>39.29898927148292</v>
      </c>
      <c r="S41" s="58">
        <f t="shared" si="17"/>
        <v>-1.0563380281689956</v>
      </c>
      <c r="T41" s="59">
        <f t="shared" si="18"/>
        <v>39.29898927148292</v>
      </c>
      <c r="U41" s="59">
        <f t="shared" si="19"/>
        <v>1.0563380281689956</v>
      </c>
    </row>
    <row r="42" spans="2:21" s="54" customFormat="1" ht="12.75">
      <c r="B42" s="54">
        <f t="shared" si="21"/>
        <v>2.8735632183908044</v>
      </c>
      <c r="C42" s="54">
        <v>348</v>
      </c>
      <c r="D42" s="54">
        <v>1197</v>
      </c>
      <c r="E42" s="54">
        <v>890.0239</v>
      </c>
      <c r="F42" s="53">
        <f t="shared" si="24"/>
        <v>1.197</v>
      </c>
      <c r="G42" s="53">
        <f t="shared" si="25"/>
        <v>0.8900239</v>
      </c>
      <c r="H42" s="63">
        <f t="shared" si="26"/>
        <v>0.17981842657583616</v>
      </c>
      <c r="I42" s="63">
        <f t="shared" si="27"/>
        <v>-0.11650696268392767</v>
      </c>
      <c r="J42" s="54">
        <v>0.715772847</v>
      </c>
      <c r="K42" s="63">
        <f t="shared" si="11"/>
        <v>-0.33439241515010126</v>
      </c>
      <c r="L42" s="63">
        <v>1.04425385072416</v>
      </c>
      <c r="M42" s="54">
        <f t="shared" si="8"/>
        <v>0.043302611938418195</v>
      </c>
      <c r="N42" s="54">
        <v>0.525</v>
      </c>
      <c r="O42" s="54">
        <v>0.533</v>
      </c>
      <c r="P42" s="54">
        <v>0.27479</v>
      </c>
      <c r="Q42" s="54">
        <v>5.5643E-06</v>
      </c>
      <c r="R42" s="58">
        <f t="shared" si="16"/>
        <v>34.490770416389935</v>
      </c>
      <c r="S42" s="58">
        <f t="shared" si="17"/>
        <v>-1.5009380863039412</v>
      </c>
      <c r="T42" s="59">
        <f t="shared" si="18"/>
        <v>34.490770416389935</v>
      </c>
      <c r="U42" s="59">
        <f t="shared" si="19"/>
        <v>1.5009380863039412</v>
      </c>
    </row>
    <row r="43" spans="1:21" s="60" customFormat="1" ht="12.75">
      <c r="A43" s="60">
        <f>C39/P41</f>
        <v>0.40032414910858993</v>
      </c>
      <c r="B43" s="54" t="e">
        <f>1/C43</f>
        <v>#DIV/0!</v>
      </c>
      <c r="H43" s="63"/>
      <c r="I43" s="63"/>
      <c r="K43" s="63"/>
      <c r="L43" s="63"/>
      <c r="M43" s="54"/>
      <c r="P43" s="60">
        <v>106.165</v>
      </c>
      <c r="Q43" s="60">
        <v>2</v>
      </c>
      <c r="R43" s="61"/>
      <c r="S43" s="61"/>
      <c r="T43" s="62"/>
      <c r="U43" s="62"/>
    </row>
    <row r="44" spans="2:21" s="24" customFormat="1" ht="12.75">
      <c r="B44" s="25"/>
      <c r="D44" s="26"/>
      <c r="E44" s="26"/>
      <c r="F44" s="26"/>
      <c r="G44" s="26"/>
      <c r="H44" s="10"/>
      <c r="I44" s="10"/>
      <c r="J44" s="26"/>
      <c r="K44" s="10"/>
      <c r="L44" s="12"/>
      <c r="M44" s="25"/>
      <c r="R44" s="43"/>
      <c r="S44" s="43"/>
      <c r="T44" s="44"/>
      <c r="U44" s="44"/>
    </row>
    <row r="45" spans="2:21" s="24" customFormat="1" ht="12.75">
      <c r="B45" s="25">
        <f aca="true" t="shared" si="28" ref="B45:B50">1000/C45</f>
        <v>4.3478260869565215</v>
      </c>
      <c r="C45" s="51">
        <v>230</v>
      </c>
      <c r="D45" s="26"/>
      <c r="E45" s="26"/>
      <c r="F45" s="26"/>
      <c r="G45" s="28">
        <v>0.00070304</v>
      </c>
      <c r="H45" s="10"/>
      <c r="I45" s="10">
        <f>LN(G45)</f>
        <v>-7.260096768768029</v>
      </c>
      <c r="J45" s="28">
        <v>0.000693243327</v>
      </c>
      <c r="K45" s="10">
        <f>LN(J45)</f>
        <v>-7.2741294991908765</v>
      </c>
      <c r="L45" s="13">
        <v>0.000719115816890468</v>
      </c>
      <c r="M45" s="25">
        <f t="shared" si="8"/>
        <v>-7.237488132700046</v>
      </c>
      <c r="R45" s="43"/>
      <c r="S45" s="43"/>
      <c r="T45" s="44"/>
      <c r="U45" s="44"/>
    </row>
    <row r="46" spans="1:21" s="24" customFormat="1" ht="12.75">
      <c r="A46" s="25" t="s">
        <v>50</v>
      </c>
      <c r="B46" s="25">
        <f t="shared" si="28"/>
        <v>3.4602076124567476</v>
      </c>
      <c r="C46" s="24">
        <v>289</v>
      </c>
      <c r="D46" s="26">
        <v>21</v>
      </c>
      <c r="E46" s="26">
        <v>20.1192</v>
      </c>
      <c r="F46" s="26">
        <f aca="true" t="shared" si="29" ref="F46:G50">D46/1000</f>
        <v>0.021</v>
      </c>
      <c r="G46" s="26">
        <f t="shared" si="29"/>
        <v>0.0201192</v>
      </c>
      <c r="H46" s="25">
        <f t="shared" si="26"/>
        <v>-3.863232841258714</v>
      </c>
      <c r="I46" s="25">
        <f t="shared" si="27"/>
        <v>-3.9060806959725167</v>
      </c>
      <c r="J46" s="28">
        <v>0.01881272166</v>
      </c>
      <c r="K46" s="25">
        <f t="shared" si="11"/>
        <v>-3.9732219539510947</v>
      </c>
      <c r="L46" s="28">
        <v>0.0153438035884643</v>
      </c>
      <c r="M46" s="25">
        <f t="shared" si="8"/>
        <v>-4.177043561466237</v>
      </c>
      <c r="N46" s="24">
        <v>0.702</v>
      </c>
      <c r="O46" s="24">
        <v>0.697</v>
      </c>
      <c r="R46" s="43">
        <f t="shared" si="16"/>
        <v>4.377907670285104</v>
      </c>
      <c r="S46" s="43">
        <f t="shared" si="17"/>
        <v>0.7173601147776191</v>
      </c>
      <c r="T46" s="44">
        <f t="shared" si="18"/>
        <v>4.377907670285104</v>
      </c>
      <c r="U46" s="44">
        <f t="shared" si="19"/>
        <v>0.7173601147776191</v>
      </c>
    </row>
    <row r="47" spans="1:21" s="24" customFormat="1" ht="12.75">
      <c r="A47" s="48">
        <v>310</v>
      </c>
      <c r="B47" s="25">
        <f t="shared" si="28"/>
        <v>3.0864197530864197</v>
      </c>
      <c r="C47" s="24">
        <v>324</v>
      </c>
      <c r="D47" s="26">
        <v>90</v>
      </c>
      <c r="E47" s="26">
        <v>76.9001</v>
      </c>
      <c r="F47" s="26">
        <f t="shared" si="29"/>
        <v>0.09</v>
      </c>
      <c r="G47" s="26">
        <f t="shared" si="29"/>
        <v>0.0769001</v>
      </c>
      <c r="H47" s="10">
        <f t="shared" si="26"/>
        <v>-2.4079456086518722</v>
      </c>
      <c r="I47" s="10">
        <f t="shared" si="27"/>
        <v>-2.5652481020812674</v>
      </c>
      <c r="J47" s="28">
        <v>0.07156234873</v>
      </c>
      <c r="K47" s="10">
        <f t="shared" si="11"/>
        <v>-2.6371861990524064</v>
      </c>
      <c r="L47" s="13">
        <v>0.0530694664282494</v>
      </c>
      <c r="M47" s="25">
        <f t="shared" si="8"/>
        <v>-2.9361535363053806</v>
      </c>
      <c r="N47" s="24">
        <v>0.669</v>
      </c>
      <c r="O47" s="24">
        <v>0.663</v>
      </c>
      <c r="R47" s="43">
        <f t="shared" si="16"/>
        <v>17.03495834205678</v>
      </c>
      <c r="S47" s="43">
        <f t="shared" si="17"/>
        <v>0.9049773755656116</v>
      </c>
      <c r="T47" s="44">
        <f t="shared" si="18"/>
        <v>17.03495834205678</v>
      </c>
      <c r="U47" s="44">
        <f t="shared" si="19"/>
        <v>0.9049773755656116</v>
      </c>
    </row>
    <row r="48" spans="2:21" s="24" customFormat="1" ht="12.75">
      <c r="B48" s="25">
        <f t="shared" si="28"/>
        <v>2.857142857142857</v>
      </c>
      <c r="C48" s="24">
        <v>350</v>
      </c>
      <c r="D48" s="26">
        <v>180</v>
      </c>
      <c r="E48" s="26">
        <v>170.6951</v>
      </c>
      <c r="F48" s="22">
        <f t="shared" si="29"/>
        <v>0.18</v>
      </c>
      <c r="G48" s="22">
        <f t="shared" si="29"/>
        <v>0.1706951</v>
      </c>
      <c r="H48" s="10">
        <f t="shared" si="26"/>
        <v>-1.7147984280919266</v>
      </c>
      <c r="I48" s="10">
        <f t="shared" si="27"/>
        <v>-1.767876354924738</v>
      </c>
      <c r="J48" s="26">
        <v>0.159543448</v>
      </c>
      <c r="K48" s="10">
        <f t="shared" si="11"/>
        <v>-1.8354389925978045</v>
      </c>
      <c r="L48" s="12">
        <v>0.111893933434791</v>
      </c>
      <c r="M48" s="25">
        <f t="shared" si="8"/>
        <v>-2.1902038793001988</v>
      </c>
      <c r="N48" s="24">
        <v>0.64</v>
      </c>
      <c r="R48" s="43">
        <f t="shared" si="16"/>
        <v>5.451181668366581</v>
      </c>
      <c r="S48" s="43"/>
      <c r="T48" s="44">
        <f t="shared" si="18"/>
        <v>5.451181668366581</v>
      </c>
      <c r="U48" s="44"/>
    </row>
    <row r="49" spans="1:21" s="24" customFormat="1" ht="12.75">
      <c r="A49" s="24">
        <v>508</v>
      </c>
      <c r="B49" s="25">
        <f t="shared" si="28"/>
        <v>2.5</v>
      </c>
      <c r="C49" s="24">
        <v>400</v>
      </c>
      <c r="D49" s="26">
        <v>660</v>
      </c>
      <c r="E49" s="26">
        <v>569.0084</v>
      </c>
      <c r="F49" s="22">
        <f t="shared" si="29"/>
        <v>0.66</v>
      </c>
      <c r="G49" s="22">
        <f t="shared" si="29"/>
        <v>0.5690084000000001</v>
      </c>
      <c r="H49" s="10">
        <f t="shared" si="26"/>
        <v>-0.4155154439616658</v>
      </c>
      <c r="I49" s="10">
        <f t="shared" si="27"/>
        <v>-0.5638600822231221</v>
      </c>
      <c r="J49" s="26">
        <v>0.5423391725</v>
      </c>
      <c r="K49" s="10">
        <f t="shared" si="11"/>
        <v>-0.6118636937405529</v>
      </c>
      <c r="L49" s="12">
        <v>0.34983701668802</v>
      </c>
      <c r="M49" s="25">
        <f t="shared" si="8"/>
        <v>-1.0502878995606997</v>
      </c>
      <c r="N49" s="24">
        <v>0.587</v>
      </c>
      <c r="R49" s="43">
        <f t="shared" si="16"/>
        <v>15.991257774050425</v>
      </c>
      <c r="S49" s="43"/>
      <c r="T49" s="44">
        <f t="shared" si="18"/>
        <v>15.991257774050425</v>
      </c>
      <c r="U49" s="44"/>
    </row>
    <row r="50" spans="1:21" s="29" customFormat="1" ht="12.75">
      <c r="A50" s="29">
        <f>C45/A49</f>
        <v>0.452755905511811</v>
      </c>
      <c r="B50" s="25">
        <f t="shared" si="28"/>
        <v>2.2222222222222223</v>
      </c>
      <c r="C50" s="29">
        <v>450</v>
      </c>
      <c r="D50" s="31">
        <v>1885</v>
      </c>
      <c r="E50" s="31">
        <v>1421.448</v>
      </c>
      <c r="F50" s="22">
        <f t="shared" si="29"/>
        <v>1.885</v>
      </c>
      <c r="G50" s="22">
        <f t="shared" si="29"/>
        <v>1.421448</v>
      </c>
      <c r="H50" s="10">
        <f t="shared" si="26"/>
        <v>0.6339278208999741</v>
      </c>
      <c r="I50" s="10">
        <f t="shared" si="27"/>
        <v>0.35167607036348575</v>
      </c>
      <c r="J50" s="31">
        <v>1.38135526</v>
      </c>
      <c r="K50" s="10">
        <f t="shared" si="11"/>
        <v>0.32306508971521236</v>
      </c>
      <c r="L50" s="12">
        <v>0.836927588703099</v>
      </c>
      <c r="M50" s="25">
        <f t="shared" si="8"/>
        <v>-0.17801772513464173</v>
      </c>
      <c r="N50" s="29">
        <v>0.488</v>
      </c>
      <c r="R50" s="45">
        <f t="shared" si="16"/>
        <v>32.61125275071616</v>
      </c>
      <c r="S50" s="45"/>
      <c r="T50" s="46">
        <f t="shared" si="18"/>
        <v>32.61125275071616</v>
      </c>
      <c r="U50" s="46"/>
    </row>
    <row r="51" spans="18:21" ht="12.75">
      <c r="R51" s="4"/>
      <c r="S51" s="4"/>
      <c r="T51" s="3"/>
      <c r="U51" s="3"/>
    </row>
    <row r="52" spans="18:21" ht="12.75">
      <c r="R52" s="4"/>
      <c r="S52" s="4"/>
      <c r="T52" s="3"/>
      <c r="U52" s="3"/>
    </row>
    <row r="53" spans="18:21" ht="12.75">
      <c r="R53" s="4"/>
      <c r="S53" s="4"/>
      <c r="T53" s="3"/>
      <c r="U53" s="3"/>
    </row>
    <row r="54" spans="18:21" ht="12.75">
      <c r="R54" s="4"/>
      <c r="S54" s="4"/>
      <c r="T54" s="3"/>
      <c r="U54" s="3"/>
    </row>
    <row r="55" spans="1:21" ht="12.75">
      <c r="A55" t="e">
        <f>C51/P53</f>
        <v>#DIV/0!</v>
      </c>
      <c r="O55" s="1">
        <f>COUNT(R2:R54)</f>
        <v>38</v>
      </c>
      <c r="P55">
        <v>128.1705</v>
      </c>
      <c r="Q55">
        <v>6</v>
      </c>
      <c r="R55" s="4">
        <f>AVERAGE(R2:R54)</f>
        <v>36.95836254123865</v>
      </c>
      <c r="S55" s="4">
        <f>AVERAGE(S2:S54)</f>
        <v>-0.13744896270651574</v>
      </c>
      <c r="T55" s="4">
        <f>AVERAGE(T2:T54)</f>
        <v>36.95836254123865</v>
      </c>
      <c r="U55" s="4">
        <f>AVERAGE(U2:U54)</f>
        <v>0.35693399286443245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86"/>
  <sheetViews>
    <sheetView workbookViewId="0" topLeftCell="A1">
      <selection activeCell="G18" sqref="G18"/>
    </sheetView>
  </sheetViews>
  <sheetFormatPr defaultColWidth="9.140625" defaultRowHeight="12.75"/>
  <cols>
    <col min="2" max="2" width="9.140625" style="10" customWidth="1"/>
    <col min="3" max="3" width="11.421875" style="0" customWidth="1"/>
    <col min="4" max="5" width="9.140625" style="12" customWidth="1"/>
    <col min="6" max="6" width="9.57421875" style="10" bestFit="1" customWidth="1"/>
    <col min="7" max="7" width="11.28125" style="10" customWidth="1"/>
    <col min="8" max="8" width="9.140625" style="12" customWidth="1"/>
    <col min="9" max="9" width="9.57421875" style="10" bestFit="1" customWidth="1"/>
  </cols>
  <sheetData>
    <row r="2" spans="3:17" ht="12.75">
      <c r="C2" t="s">
        <v>0</v>
      </c>
      <c r="E2" s="12" t="s">
        <v>54</v>
      </c>
      <c r="J2" t="s">
        <v>55</v>
      </c>
      <c r="L2" t="s">
        <v>10</v>
      </c>
      <c r="M2" t="s">
        <v>9</v>
      </c>
      <c r="N2" t="s">
        <v>56</v>
      </c>
      <c r="O2" t="s">
        <v>11</v>
      </c>
      <c r="P2" t="s">
        <v>57</v>
      </c>
      <c r="Q2" t="s">
        <v>58</v>
      </c>
    </row>
    <row r="4" spans="2:20" ht="12.75">
      <c r="B4" s="10">
        <f aca="true" t="shared" si="0" ref="B4:B9">1/C4</f>
        <v>0.0036363636363636364</v>
      </c>
      <c r="C4">
        <v>275</v>
      </c>
      <c r="D4" s="12">
        <v>0.00382</v>
      </c>
      <c r="E4" s="12">
        <v>0.0044</v>
      </c>
      <c r="F4" s="10">
        <f aca="true" t="shared" si="1" ref="F4:G9">LN(D4)</f>
        <v>-5.567504856363653</v>
      </c>
      <c r="G4" s="10">
        <f t="shared" si="1"/>
        <v>-5.426150738057921</v>
      </c>
      <c r="J4">
        <f aca="true" t="shared" si="2" ref="J4:J9">ABS(E4-D4)/D4</f>
        <v>0.15183246073298434</v>
      </c>
      <c r="K4">
        <v>5.43E-05</v>
      </c>
      <c r="L4">
        <v>0.8072</v>
      </c>
      <c r="M4">
        <v>0.811251</v>
      </c>
      <c r="N4">
        <f aca="true" t="shared" si="3" ref="N4:N9">ABS(M4-L4)/L4</f>
        <v>0.005018582755203204</v>
      </c>
      <c r="O4">
        <f aca="true" t="shared" si="4" ref="O4:O9">C4/C$10</f>
        <v>0.5360623781676414</v>
      </c>
      <c r="P4">
        <v>275</v>
      </c>
      <c r="Q4" s="2">
        <v>0.0044401</v>
      </c>
      <c r="T4" s="2"/>
    </row>
    <row r="5" spans="2:17" ht="12.75">
      <c r="B5" s="10">
        <f t="shared" si="0"/>
        <v>0.0033333333333333335</v>
      </c>
      <c r="C5">
        <v>300</v>
      </c>
      <c r="D5" s="12">
        <v>0.0171</v>
      </c>
      <c r="E5" s="12">
        <v>0.0185</v>
      </c>
      <c r="F5" s="10">
        <f t="shared" si="1"/>
        <v>-4.0686768154735224</v>
      </c>
      <c r="G5" s="10">
        <f t="shared" si="1"/>
        <v>-3.989984546897858</v>
      </c>
      <c r="J5">
        <f t="shared" si="2"/>
        <v>0.08187134502923968</v>
      </c>
      <c r="K5">
        <v>0.000231</v>
      </c>
      <c r="L5">
        <v>0.7821</v>
      </c>
      <c r="M5">
        <v>0.787831</v>
      </c>
      <c r="N5">
        <f t="shared" si="3"/>
        <v>0.007327707454289644</v>
      </c>
      <c r="O5">
        <f t="shared" si="4"/>
        <v>0.5847953216374269</v>
      </c>
      <c r="P5">
        <v>300</v>
      </c>
      <c r="Q5">
        <v>0.018526</v>
      </c>
    </row>
    <row r="6" spans="2:17" ht="12.75">
      <c r="B6" s="10">
        <f t="shared" si="0"/>
        <v>0.003076923076923077</v>
      </c>
      <c r="C6">
        <v>325</v>
      </c>
      <c r="D6" s="12">
        <v>0.0522</v>
      </c>
      <c r="E6" s="12">
        <v>0.06015</v>
      </c>
      <c r="F6" s="10">
        <f t="shared" si="1"/>
        <v>-2.952672784093544</v>
      </c>
      <c r="G6" s="10">
        <f t="shared" si="1"/>
        <v>-2.810913836561449</v>
      </c>
      <c r="J6">
        <f t="shared" si="2"/>
        <v>0.1522988505747126</v>
      </c>
      <c r="K6">
        <v>0.000653</v>
      </c>
      <c r="L6">
        <v>0.7532</v>
      </c>
      <c r="M6">
        <v>0.763007</v>
      </c>
      <c r="N6">
        <f t="shared" si="3"/>
        <v>0.013020446096654288</v>
      </c>
      <c r="O6">
        <f t="shared" si="4"/>
        <v>0.6335282651072125</v>
      </c>
      <c r="P6">
        <v>325</v>
      </c>
      <c r="Q6">
        <v>0.060151</v>
      </c>
    </row>
    <row r="7" spans="2:20" ht="12.75">
      <c r="B7" s="10">
        <f t="shared" si="0"/>
        <v>0.0026666666666666666</v>
      </c>
      <c r="C7">
        <v>375</v>
      </c>
      <c r="D7" s="12">
        <v>0.3547</v>
      </c>
      <c r="E7" s="12">
        <v>0.3734</v>
      </c>
      <c r="F7" s="10">
        <f t="shared" si="1"/>
        <v>-1.036482917202561</v>
      </c>
      <c r="G7" s="10">
        <f t="shared" si="1"/>
        <v>-0.9851050478745148</v>
      </c>
      <c r="J7">
        <f t="shared" si="2"/>
        <v>0.05272060896532279</v>
      </c>
      <c r="K7">
        <v>0.00422</v>
      </c>
      <c r="L7">
        <v>0.6927</v>
      </c>
      <c r="M7">
        <v>0.707736</v>
      </c>
      <c r="N7">
        <f t="shared" si="3"/>
        <v>0.021706366392377725</v>
      </c>
      <c r="O7">
        <f t="shared" si="4"/>
        <v>0.7309941520467836</v>
      </c>
      <c r="P7">
        <v>350</v>
      </c>
      <c r="Q7">
        <v>0.161348</v>
      </c>
      <c r="T7" s="2"/>
    </row>
    <row r="8" spans="2:17" ht="12.75">
      <c r="B8" s="10">
        <f t="shared" si="0"/>
        <v>0.002352941176470588</v>
      </c>
      <c r="C8">
        <v>425</v>
      </c>
      <c r="D8" s="12">
        <v>1.575</v>
      </c>
      <c r="E8" s="12">
        <v>1.448</v>
      </c>
      <c r="F8" s="10">
        <f t="shared" si="1"/>
        <v>0.4542552722775964</v>
      </c>
      <c r="G8" s="10">
        <f t="shared" si="1"/>
        <v>0.3701832939635246</v>
      </c>
      <c r="J8">
        <f t="shared" si="2"/>
        <v>0.08063492063492064</v>
      </c>
      <c r="K8">
        <v>0.0211</v>
      </c>
      <c r="L8">
        <v>0.6283</v>
      </c>
      <c r="M8">
        <v>0.640538</v>
      </c>
      <c r="N8">
        <f t="shared" si="3"/>
        <v>0.019477956390259562</v>
      </c>
      <c r="O8">
        <f t="shared" si="4"/>
        <v>0.8284600389863548</v>
      </c>
      <c r="P8">
        <v>375</v>
      </c>
      <c r="Q8">
        <v>0.373383</v>
      </c>
    </row>
    <row r="9" spans="2:17" ht="12.75">
      <c r="B9" s="10">
        <f t="shared" si="0"/>
        <v>0.002105263157894737</v>
      </c>
      <c r="C9">
        <v>475</v>
      </c>
      <c r="D9" s="12">
        <v>4.964</v>
      </c>
      <c r="E9" s="12">
        <v>4.182</v>
      </c>
      <c r="F9" s="10">
        <f t="shared" si="1"/>
        <v>1.6022118673423609</v>
      </c>
      <c r="G9" s="10">
        <f t="shared" si="1"/>
        <v>1.430789601006442</v>
      </c>
      <c r="H9" s="12">
        <v>235</v>
      </c>
      <c r="J9">
        <f t="shared" si="2"/>
        <v>0.15753424657534246</v>
      </c>
      <c r="K9">
        <v>0.1105</v>
      </c>
      <c r="L9">
        <v>0.5188</v>
      </c>
      <c r="M9">
        <v>0.546111</v>
      </c>
      <c r="N9">
        <f t="shared" si="3"/>
        <v>0.05264263685427905</v>
      </c>
      <c r="O9">
        <f t="shared" si="4"/>
        <v>0.9259259259259259</v>
      </c>
      <c r="P9">
        <v>400</v>
      </c>
      <c r="Q9">
        <v>0.769747</v>
      </c>
    </row>
    <row r="10" spans="3:20" ht="12.75">
      <c r="C10">
        <v>513</v>
      </c>
      <c r="H10" s="12">
        <f>H9/C10</f>
        <v>0.4580896686159844</v>
      </c>
      <c r="J10">
        <f>AVERAGE(J4:J9)</f>
        <v>0.11281540541875375</v>
      </c>
      <c r="N10">
        <f>AVERAGE(N4:N9)</f>
        <v>0.01986561599051058</v>
      </c>
      <c r="P10">
        <v>425</v>
      </c>
      <c r="Q10">
        <v>1.4483</v>
      </c>
      <c r="T10" s="2"/>
    </row>
    <row r="11" spans="2:17" ht="12.75">
      <c r="B11" s="10" t="s">
        <v>59</v>
      </c>
      <c r="C11" t="s">
        <v>1</v>
      </c>
      <c r="D11" s="12" t="s">
        <v>60</v>
      </c>
      <c r="E11" s="12" t="s">
        <v>61</v>
      </c>
      <c r="F11" s="10" t="s">
        <v>62</v>
      </c>
      <c r="P11" t="s">
        <v>57</v>
      </c>
      <c r="Q11" t="s">
        <v>58</v>
      </c>
    </row>
    <row r="12" spans="2:15" ht="12.75">
      <c r="B12" s="10">
        <f>1000/C12</f>
        <v>4.25531914893617</v>
      </c>
      <c r="C12">
        <v>235</v>
      </c>
      <c r="E12" s="13">
        <v>6.4144E-05</v>
      </c>
      <c r="G12" s="10">
        <f aca="true" t="shared" si="5" ref="G12:G18">LN(E12)</f>
        <v>-9.654380002064123</v>
      </c>
      <c r="H12" s="13">
        <v>0.0001648769</v>
      </c>
      <c r="I12" s="10">
        <f aca="true" t="shared" si="6" ref="I12:I18">LN(H12)</f>
        <v>-8.710311423111467</v>
      </c>
      <c r="O12">
        <f>C12/C19</f>
        <v>0.4571984435797665</v>
      </c>
    </row>
    <row r="13" spans="1:17" ht="12.75">
      <c r="A13" s="47">
        <v>1102</v>
      </c>
      <c r="B13" s="10">
        <f aca="true" t="shared" si="7" ref="B13:B19">1000/C13</f>
        <v>3.6363636363636362</v>
      </c>
      <c r="C13">
        <v>275</v>
      </c>
      <c r="D13" s="12">
        <v>0.00142</v>
      </c>
      <c r="E13" s="12">
        <v>0.00182</v>
      </c>
      <c r="F13" s="10">
        <f aca="true" t="shared" si="8" ref="F13:F18">LN(D13)</f>
        <v>-6.557098407368968</v>
      </c>
      <c r="G13" s="10">
        <f t="shared" si="5"/>
        <v>-6.3089187778934335</v>
      </c>
      <c r="H13" s="13">
        <v>0.004279794</v>
      </c>
      <c r="I13" s="10">
        <f t="shared" si="6"/>
        <v>-5.4538504013878795</v>
      </c>
      <c r="J13">
        <f aca="true" t="shared" si="9" ref="J13:J18">ABS(E13-D13)/D13</f>
        <v>0.2816901408450704</v>
      </c>
      <c r="K13">
        <v>2.93E-05</v>
      </c>
      <c r="L13">
        <v>0.8042</v>
      </c>
      <c r="M13">
        <v>0.805981</v>
      </c>
      <c r="N13">
        <f>ABS(M13-L13)/L13</f>
        <v>0.0022146232280526256</v>
      </c>
      <c r="O13">
        <f aca="true" t="shared" si="10" ref="O13:O18">C13/C$19</f>
        <v>0.5350194552529183</v>
      </c>
      <c r="P13">
        <v>275</v>
      </c>
      <c r="Q13" s="2">
        <v>0.0018184</v>
      </c>
    </row>
    <row r="14" spans="2:20" ht="12.75">
      <c r="B14" s="10">
        <f t="shared" si="7"/>
        <v>3.3333333333333335</v>
      </c>
      <c r="C14">
        <v>300</v>
      </c>
      <c r="D14" s="12">
        <v>0.00815</v>
      </c>
      <c r="E14" s="12">
        <v>0.00881</v>
      </c>
      <c r="F14" s="10">
        <f t="shared" si="8"/>
        <v>-4.809737351729366</v>
      </c>
      <c r="G14" s="10">
        <f t="shared" si="5"/>
        <v>-4.731867839034049</v>
      </c>
      <c r="H14" s="13">
        <v>0.019428</v>
      </c>
      <c r="I14" s="10">
        <f t="shared" si="6"/>
        <v>-3.9410399544986388</v>
      </c>
      <c r="J14">
        <f t="shared" si="9"/>
        <v>0.08098159509202466</v>
      </c>
      <c r="K14">
        <v>0.000151</v>
      </c>
      <c r="L14">
        <v>0.7821</v>
      </c>
      <c r="M14">
        <v>0.784232</v>
      </c>
      <c r="N14">
        <f>ABS(M14-L14)/L14</f>
        <v>0.002725994118399211</v>
      </c>
      <c r="O14">
        <f t="shared" si="10"/>
        <v>0.5836575875486382</v>
      </c>
      <c r="P14">
        <v>300</v>
      </c>
      <c r="Q14" s="2">
        <v>0.008813</v>
      </c>
      <c r="T14" s="2"/>
    </row>
    <row r="15" spans="2:17" ht="12.75">
      <c r="B15" s="10">
        <f t="shared" si="7"/>
        <v>3.076923076923077</v>
      </c>
      <c r="C15">
        <v>325</v>
      </c>
      <c r="D15" s="12">
        <v>0.0303</v>
      </c>
      <c r="E15" s="12">
        <v>0.0323</v>
      </c>
      <c r="F15" s="10">
        <f t="shared" si="8"/>
        <v>-3.4966075664668135</v>
      </c>
      <c r="G15" s="10">
        <f t="shared" si="5"/>
        <v>-3.4326880487535263</v>
      </c>
      <c r="H15" s="13">
        <v>0.06629</v>
      </c>
      <c r="I15" s="10">
        <f t="shared" si="6"/>
        <v>-2.713716222728837</v>
      </c>
      <c r="J15">
        <f t="shared" si="9"/>
        <v>0.06600660066006607</v>
      </c>
      <c r="K15">
        <v>0.000525</v>
      </c>
      <c r="L15">
        <v>0.7562</v>
      </c>
      <c r="M15">
        <v>0.761106</v>
      </c>
      <c r="N15">
        <f>ABS(M15-L15)/L15</f>
        <v>0.006487701666225821</v>
      </c>
      <c r="O15">
        <f t="shared" si="10"/>
        <v>0.632295719844358</v>
      </c>
      <c r="P15">
        <v>325</v>
      </c>
      <c r="Q15">
        <v>0.032325</v>
      </c>
    </row>
    <row r="16" spans="2:17" ht="12.75">
      <c r="B16" s="10">
        <f t="shared" si="7"/>
        <v>2.6666666666666665</v>
      </c>
      <c r="C16">
        <v>375</v>
      </c>
      <c r="D16" s="12">
        <v>0.2341</v>
      </c>
      <c r="E16" s="12">
        <v>0.239</v>
      </c>
      <c r="F16" s="10">
        <f t="shared" si="8"/>
        <v>-1.452006904485272</v>
      </c>
      <c r="G16" s="10">
        <f t="shared" si="5"/>
        <v>-1.4312917270506265</v>
      </c>
      <c r="H16" s="12">
        <v>0.420799</v>
      </c>
      <c r="I16" s="10">
        <f t="shared" si="6"/>
        <v>-0.8655999939873162</v>
      </c>
      <c r="J16">
        <f t="shared" si="9"/>
        <v>0.02093122597180687</v>
      </c>
      <c r="K16">
        <v>0.00403</v>
      </c>
      <c r="L16">
        <v>0.7053</v>
      </c>
      <c r="M16">
        <v>0.709339</v>
      </c>
      <c r="N16">
        <f>ABS(M16-L16)/L16</f>
        <v>0.005726641145611817</v>
      </c>
      <c r="O16">
        <f t="shared" si="10"/>
        <v>0.7295719844357976</v>
      </c>
      <c r="P16">
        <v>350</v>
      </c>
      <c r="Q16">
        <v>0.095637</v>
      </c>
    </row>
    <row r="17" spans="2:20" ht="12.75">
      <c r="B17" s="10">
        <f t="shared" si="7"/>
        <v>2.3529411764705883</v>
      </c>
      <c r="C17">
        <v>425</v>
      </c>
      <c r="D17" s="12">
        <v>1.115</v>
      </c>
      <c r="E17" s="12">
        <v>1.0252</v>
      </c>
      <c r="F17" s="10">
        <f t="shared" si="8"/>
        <v>0.10885440491208208</v>
      </c>
      <c r="G17" s="10">
        <f t="shared" si="5"/>
        <v>0.024887715507778883</v>
      </c>
      <c r="H17" s="12">
        <v>1.5660226</v>
      </c>
      <c r="I17" s="10">
        <f t="shared" si="6"/>
        <v>0.4485390291375281</v>
      </c>
      <c r="J17">
        <f t="shared" si="9"/>
        <v>0.08053811659192835</v>
      </c>
      <c r="K17">
        <v>0.0181</v>
      </c>
      <c r="L17">
        <v>0.6353</v>
      </c>
      <c r="M17">
        <v>0.645903</v>
      </c>
      <c r="N17">
        <f>ABS(M17-L17)/L17</f>
        <v>0.01668975287265863</v>
      </c>
      <c r="O17">
        <f t="shared" si="10"/>
        <v>0.8268482490272373</v>
      </c>
      <c r="P17">
        <v>375</v>
      </c>
      <c r="Q17">
        <v>0.23906</v>
      </c>
      <c r="T17" s="2"/>
    </row>
    <row r="18" spans="2:17" ht="12.75">
      <c r="B18" s="10">
        <f t="shared" si="7"/>
        <v>2.1052631578947367</v>
      </c>
      <c r="C18">
        <v>475</v>
      </c>
      <c r="D18" s="12">
        <v>3.22</v>
      </c>
      <c r="E18" s="12">
        <v>3.078</v>
      </c>
      <c r="F18" s="10">
        <f t="shared" si="8"/>
        <v>1.169381359556317</v>
      </c>
      <c r="G18" s="10">
        <f t="shared" si="5"/>
        <v>1.1242800354166875</v>
      </c>
      <c r="H18" s="12">
        <v>4.206077</v>
      </c>
      <c r="I18" s="10">
        <f t="shared" si="6"/>
        <v>1.4365303842931523</v>
      </c>
      <c r="J18">
        <f t="shared" si="9"/>
        <v>0.044099378881987686</v>
      </c>
      <c r="K18">
        <v>0.0545</v>
      </c>
      <c r="L18">
        <v>0.5244</v>
      </c>
      <c r="M18">
        <v>0.556051</v>
      </c>
      <c r="O18">
        <f t="shared" si="10"/>
        <v>0.9241245136186771</v>
      </c>
      <c r="P18">
        <v>400</v>
      </c>
      <c r="Q18">
        <v>0.522543</v>
      </c>
    </row>
    <row r="19" spans="2:17" ht="12.75">
      <c r="B19" s="10">
        <f t="shared" si="7"/>
        <v>1.9455252918287937</v>
      </c>
      <c r="C19">
        <v>514</v>
      </c>
      <c r="J19">
        <f>AVERAGE(J13:J18)</f>
        <v>0.09570784300714734</v>
      </c>
      <c r="N19">
        <f>AVERAGE(N13:N18)</f>
        <v>0.006768942606189621</v>
      </c>
      <c r="O19" t="s">
        <v>12</v>
      </c>
      <c r="P19">
        <v>425</v>
      </c>
      <c r="Q19">
        <v>1.0252</v>
      </c>
    </row>
    <row r="20" spans="1:20" ht="12.75">
      <c r="A20" s="47">
        <v>1103</v>
      </c>
      <c r="C20" t="s">
        <v>2</v>
      </c>
      <c r="O20">
        <f>AVERAGE(N10,N19,N28,N40,N50,N66,N73,N80,N86)</f>
        <v>0.0157253213276234</v>
      </c>
      <c r="P20">
        <v>450</v>
      </c>
      <c r="Q20">
        <v>1.8418</v>
      </c>
      <c r="T20" s="2"/>
    </row>
    <row r="21" spans="2:20" ht="12.75">
      <c r="B21" s="10">
        <f>1000/C21</f>
        <v>4.081632653061225</v>
      </c>
      <c r="C21">
        <v>245</v>
      </c>
      <c r="E21" s="13">
        <v>3.5685E-05</v>
      </c>
      <c r="G21" s="10">
        <f aca="true" t="shared" si="11" ref="G21:G27">LN(E21)</f>
        <v>-10.240780125541244</v>
      </c>
      <c r="H21" s="13">
        <v>8.153609522E-05</v>
      </c>
      <c r="I21" s="10">
        <f aca="true" t="shared" si="12" ref="I21:I27">LN(H21)</f>
        <v>-9.414464749627605</v>
      </c>
      <c r="T21" s="2"/>
    </row>
    <row r="22" spans="2:17" ht="12.75">
      <c r="B22" s="10">
        <f aca="true" t="shared" si="13" ref="B22:B27">1000/C22</f>
        <v>3.3333333333333335</v>
      </c>
      <c r="C22">
        <v>300</v>
      </c>
      <c r="D22" s="12">
        <v>0.00452</v>
      </c>
      <c r="E22" s="13">
        <v>0.0031622</v>
      </c>
      <c r="F22" s="11">
        <f aca="true" t="shared" si="14" ref="F22:F27">LN(D22)</f>
        <v>-5.399243285137997</v>
      </c>
      <c r="G22" s="11">
        <f t="shared" si="11"/>
        <v>-5.756487291088229</v>
      </c>
      <c r="H22" s="13">
        <v>0.0058523049</v>
      </c>
      <c r="I22" s="11">
        <f t="shared" si="12"/>
        <v>-5.14091969533599</v>
      </c>
      <c r="J22">
        <f aca="true" t="shared" si="15" ref="J22:J27">ABS(E22-D22)/D22</f>
        <v>0.30039823008849553</v>
      </c>
      <c r="K22">
        <v>0.000111</v>
      </c>
      <c r="L22">
        <v>0.7921</v>
      </c>
      <c r="M22">
        <v>0.798741</v>
      </c>
      <c r="N22">
        <f>ABS(M22-L22)/L22</f>
        <v>0.008384042418886514</v>
      </c>
      <c r="P22" t="s">
        <v>57</v>
      </c>
      <c r="Q22" t="s">
        <v>58</v>
      </c>
    </row>
    <row r="23" spans="2:17" ht="12.75">
      <c r="B23" s="10">
        <f t="shared" si="13"/>
        <v>2.857142857142857</v>
      </c>
      <c r="C23">
        <v>350</v>
      </c>
      <c r="D23" s="12">
        <v>0.0431</v>
      </c>
      <c r="E23" s="12">
        <v>0.044403</v>
      </c>
      <c r="F23" s="11">
        <f t="shared" si="14"/>
        <v>-3.144232281872435</v>
      </c>
      <c r="G23" s="11">
        <f t="shared" si="11"/>
        <v>-3.1144482442589756</v>
      </c>
      <c r="H23" s="13">
        <v>0.069700246</v>
      </c>
      <c r="I23" s="11">
        <f t="shared" si="12"/>
        <v>-2.6635514318101228</v>
      </c>
      <c r="J23">
        <f t="shared" si="15"/>
        <v>0.030232018561484886</v>
      </c>
      <c r="K23">
        <v>0.000926</v>
      </c>
      <c r="L23">
        <v>0.7442</v>
      </c>
      <c r="M23">
        <v>0.752744</v>
      </c>
      <c r="N23">
        <f>ABS(M23-L23)/L23</f>
        <v>0.011480784735286208</v>
      </c>
      <c r="P23">
        <v>300</v>
      </c>
      <c r="Q23" s="2">
        <v>0.0031622</v>
      </c>
    </row>
    <row r="24" spans="2:20" ht="12.75">
      <c r="B24" s="10">
        <f t="shared" si="13"/>
        <v>2.5</v>
      </c>
      <c r="C24">
        <v>400</v>
      </c>
      <c r="D24" s="12">
        <v>0.37415</v>
      </c>
      <c r="E24" s="12">
        <v>0.27919</v>
      </c>
      <c r="F24" s="11">
        <f t="shared" si="14"/>
        <v>-0.9830984924557695</v>
      </c>
      <c r="G24" s="11">
        <f t="shared" si="11"/>
        <v>-1.2758627253542612</v>
      </c>
      <c r="H24" s="12">
        <v>0.38158636</v>
      </c>
      <c r="I24" s="11">
        <f t="shared" si="12"/>
        <v>-0.9634180842816468</v>
      </c>
      <c r="J24">
        <f t="shared" si="15"/>
        <v>0.25380195108913534</v>
      </c>
      <c r="K24">
        <v>0.00776</v>
      </c>
      <c r="L24">
        <v>0.7022</v>
      </c>
      <c r="M24">
        <v>0.699807</v>
      </c>
      <c r="N24">
        <f>ABS(M24-L24)/L24</f>
        <v>0.0034078610082598822</v>
      </c>
      <c r="P24">
        <v>350</v>
      </c>
      <c r="Q24">
        <v>0.044403</v>
      </c>
      <c r="T24" s="2"/>
    </row>
    <row r="25" spans="2:17" ht="12.75">
      <c r="B25" s="10">
        <f t="shared" si="13"/>
        <v>2.2222222222222223</v>
      </c>
      <c r="C25">
        <v>450</v>
      </c>
      <c r="D25" s="12">
        <v>1.213</v>
      </c>
      <c r="E25" s="12">
        <v>1.0545</v>
      </c>
      <c r="F25" s="11">
        <f t="shared" si="14"/>
        <v>0.19309662996191315</v>
      </c>
      <c r="G25" s="11">
        <f t="shared" si="11"/>
        <v>0.05306672093669223</v>
      </c>
      <c r="H25" s="12">
        <v>1.302686922</v>
      </c>
      <c r="I25" s="11">
        <f t="shared" si="12"/>
        <v>0.26442899452152985</v>
      </c>
      <c r="J25">
        <f t="shared" si="15"/>
        <v>0.1306677658697445</v>
      </c>
      <c r="K25">
        <v>0.0252</v>
      </c>
      <c r="L25">
        <v>0.6284</v>
      </c>
      <c r="M25">
        <v>0.635042</v>
      </c>
      <c r="N25">
        <f>ABS(M25-L25)/L25</f>
        <v>0.010569700827498469</v>
      </c>
      <c r="P25">
        <v>400</v>
      </c>
      <c r="Q25">
        <v>0.27919</v>
      </c>
    </row>
    <row r="26" spans="2:17" ht="12.75">
      <c r="B26" s="10">
        <f t="shared" si="13"/>
        <v>2</v>
      </c>
      <c r="C26">
        <v>500</v>
      </c>
      <c r="D26" s="12">
        <v>3.3915</v>
      </c>
      <c r="E26" s="12">
        <v>2.859</v>
      </c>
      <c r="F26" s="11">
        <f t="shared" si="14"/>
        <v>1.2212723014039972</v>
      </c>
      <c r="G26" s="11">
        <f t="shared" si="11"/>
        <v>1.0504719133401748</v>
      </c>
      <c r="H26" s="12">
        <v>3.32359925</v>
      </c>
      <c r="I26" s="11">
        <f t="shared" si="12"/>
        <v>1.2010483071497398</v>
      </c>
      <c r="J26">
        <f t="shared" si="15"/>
        <v>0.1570101724900487</v>
      </c>
      <c r="K26">
        <v>0.0869</v>
      </c>
      <c r="L26">
        <v>0.5127</v>
      </c>
      <c r="M26">
        <v>0.543001</v>
      </c>
      <c r="N26">
        <f>ABS(M26-L26)/L26</f>
        <v>0.059100838697093636</v>
      </c>
      <c r="O26">
        <f>C26/C28</f>
        <v>0.931098696461825</v>
      </c>
      <c r="P26">
        <v>450</v>
      </c>
      <c r="Q26">
        <v>1.0545</v>
      </c>
    </row>
    <row r="27" spans="2:20" ht="12.75">
      <c r="B27" s="10">
        <f t="shared" si="13"/>
        <v>1.941747572815534</v>
      </c>
      <c r="C27">
        <v>515</v>
      </c>
      <c r="D27" s="12">
        <v>3.8519</v>
      </c>
      <c r="E27" s="12">
        <v>3.683</v>
      </c>
      <c r="F27" s="11">
        <f t="shared" si="14"/>
        <v>1.3485665330589192</v>
      </c>
      <c r="G27" s="11">
        <f t="shared" si="11"/>
        <v>1.3037276374629283</v>
      </c>
      <c r="H27" s="12">
        <v>4.23512438</v>
      </c>
      <c r="I27" s="11">
        <f t="shared" si="12"/>
        <v>1.4434126972122927</v>
      </c>
      <c r="J27">
        <f t="shared" si="15"/>
        <v>0.04384849035540909</v>
      </c>
      <c r="K27">
        <v>0.0948</v>
      </c>
      <c r="L27">
        <v>0.3764</v>
      </c>
      <c r="M27">
        <v>0.500859</v>
      </c>
      <c r="O27">
        <f>C27/C28</f>
        <v>0.9590316573556797</v>
      </c>
      <c r="P27">
        <v>500</v>
      </c>
      <c r="Q27">
        <v>2.859</v>
      </c>
      <c r="T27" s="2"/>
    </row>
    <row r="28" spans="3:14" ht="12.75">
      <c r="C28">
        <v>537</v>
      </c>
      <c r="J28">
        <f>AVERAGE(J22:J27)</f>
        <v>0.15265977140905299</v>
      </c>
      <c r="N28">
        <f>AVERAGE(N22:N27)</f>
        <v>0.01858864553740494</v>
      </c>
    </row>
    <row r="29" ht="12.75">
      <c r="C29">
        <f>C21/C28</f>
        <v>0.45623836126629425</v>
      </c>
    </row>
    <row r="30" ht="12.75">
      <c r="T30" s="2"/>
    </row>
    <row r="31" spans="1:17" ht="12.75">
      <c r="A31" s="47">
        <v>1109</v>
      </c>
      <c r="C31" t="s">
        <v>3</v>
      </c>
      <c r="P31" t="s">
        <v>57</v>
      </c>
      <c r="Q31" t="s">
        <v>58</v>
      </c>
    </row>
    <row r="32" spans="2:9" ht="12.75">
      <c r="B32" s="10">
        <f>1000/C32</f>
        <v>3.7735849056603774</v>
      </c>
      <c r="C32">
        <v>265</v>
      </c>
      <c r="E32" s="13">
        <v>1.6493E-05</v>
      </c>
      <c r="G32" s="10">
        <f>LN(E32)</f>
        <v>-11.01257450949826</v>
      </c>
      <c r="H32" s="13">
        <v>2.99058E-05</v>
      </c>
      <c r="I32" s="11">
        <f>LN(H32)</f>
        <v>-10.417458116446198</v>
      </c>
    </row>
    <row r="33" spans="2:17" ht="12.75">
      <c r="B33" s="10">
        <f aca="true" t="shared" si="16" ref="B33:B39">1000/C33</f>
        <v>3.3333333333333335</v>
      </c>
      <c r="C33">
        <v>300</v>
      </c>
      <c r="D33" s="12">
        <v>0.000464</v>
      </c>
      <c r="E33" s="13">
        <v>0.00038098</v>
      </c>
      <c r="F33" s="11">
        <f>LN(D33)</f>
        <v>-7.675626005738019</v>
      </c>
      <c r="G33" s="11">
        <f>LN(E33)</f>
        <v>-7.872763677653722</v>
      </c>
      <c r="H33" s="13">
        <v>0.00058504428</v>
      </c>
      <c r="I33" s="11">
        <f>LN(H33)</f>
        <v>-7.443823021289243</v>
      </c>
      <c r="J33">
        <f aca="true" t="shared" si="17" ref="J33:J39">ABS(E33-D33)/D33</f>
        <v>0.17892241379310345</v>
      </c>
      <c r="K33">
        <v>1.61E-05</v>
      </c>
      <c r="L33">
        <v>0.8072</v>
      </c>
      <c r="M33">
        <v>0.810687</v>
      </c>
      <c r="N33">
        <f>ABS(M33-L33)/L33</f>
        <v>0.0043198711595639466</v>
      </c>
      <c r="P33">
        <v>300</v>
      </c>
      <c r="Q33" s="2">
        <v>0.00038098</v>
      </c>
    </row>
    <row r="34" spans="2:20" ht="12.75">
      <c r="B34" s="10">
        <f t="shared" si="16"/>
        <v>2.857142857142857</v>
      </c>
      <c r="C34">
        <v>350</v>
      </c>
      <c r="D34" s="12">
        <v>0.01034</v>
      </c>
      <c r="E34" s="13">
        <v>0.0084579</v>
      </c>
      <c r="F34" s="11">
        <f aca="true" t="shared" si="18" ref="F34:F39">LN(D34)</f>
        <v>-4.571735409901854</v>
      </c>
      <c r="G34" s="11">
        <f aca="true" t="shared" si="19" ref="G34:G39">LN(E34)</f>
        <v>-4.772654363127768</v>
      </c>
      <c r="H34" s="13">
        <v>0.01143951</v>
      </c>
      <c r="I34" s="11">
        <f aca="true" t="shared" si="20" ref="I34:I39">LN(H34)</f>
        <v>-4.470682126115641</v>
      </c>
      <c r="J34">
        <f t="shared" si="17"/>
        <v>0.18202127659574463</v>
      </c>
      <c r="K34">
        <v>0.000321</v>
      </c>
      <c r="L34">
        <v>0.7692</v>
      </c>
      <c r="M34">
        <v>0.76966</v>
      </c>
      <c r="N34">
        <f>ABS(M34-L34)/L34</f>
        <v>0.000598023920956859</v>
      </c>
      <c r="P34">
        <v>350</v>
      </c>
      <c r="Q34" s="2">
        <v>0.0084579</v>
      </c>
      <c r="T34" s="2"/>
    </row>
    <row r="35" spans="2:17" ht="12.75">
      <c r="B35" s="10">
        <f t="shared" si="16"/>
        <v>2.5</v>
      </c>
      <c r="C35">
        <v>400</v>
      </c>
      <c r="D35" s="12">
        <v>0.0914</v>
      </c>
      <c r="E35" s="13">
        <v>0.069938</v>
      </c>
      <c r="F35" s="11">
        <f t="shared" si="18"/>
        <v>-2.3925098005220327</v>
      </c>
      <c r="G35" s="11">
        <f t="shared" si="19"/>
        <v>-2.6601461436951555</v>
      </c>
      <c r="H35" s="13">
        <v>0.0864067033</v>
      </c>
      <c r="I35" s="11">
        <f t="shared" si="20"/>
        <v>-2.4486900216909073</v>
      </c>
      <c r="J35">
        <f t="shared" si="17"/>
        <v>0.23481400437636757</v>
      </c>
      <c r="K35">
        <v>0.00251</v>
      </c>
      <c r="L35">
        <v>0.7232</v>
      </c>
      <c r="M35">
        <v>0.724225</v>
      </c>
      <c r="N35">
        <f>ABS(M35-L35)/L35</f>
        <v>0.001417311946902729</v>
      </c>
      <c r="P35">
        <v>400</v>
      </c>
      <c r="Q35" s="2">
        <v>0.069938</v>
      </c>
    </row>
    <row r="36" spans="2:17" ht="12.75">
      <c r="B36" s="10">
        <f t="shared" si="16"/>
        <v>2.2222222222222223</v>
      </c>
      <c r="C36">
        <v>450</v>
      </c>
      <c r="D36" s="12">
        <v>0.40725</v>
      </c>
      <c r="E36" s="12">
        <v>0.311763</v>
      </c>
      <c r="F36" s="11">
        <f t="shared" si="18"/>
        <v>-0.8983280314999825</v>
      </c>
      <c r="G36" s="11">
        <f t="shared" si="19"/>
        <v>-1.165511995211223</v>
      </c>
      <c r="H36" s="12">
        <v>0.364277143</v>
      </c>
      <c r="I36" s="11">
        <f t="shared" si="20"/>
        <v>-1.009840319181398</v>
      </c>
      <c r="J36">
        <f t="shared" si="17"/>
        <v>0.23446777163904234</v>
      </c>
      <c r="K36">
        <v>0.01046</v>
      </c>
      <c r="L36">
        <v>0.6604</v>
      </c>
      <c r="M36">
        <v>0.672266</v>
      </c>
      <c r="N36">
        <f>ABS(M36-L36)/L36</f>
        <v>0.01796789824348886</v>
      </c>
      <c r="P36">
        <v>450</v>
      </c>
      <c r="Q36">
        <v>0.311763</v>
      </c>
    </row>
    <row r="37" spans="2:20" ht="12.75">
      <c r="B37" s="10">
        <f t="shared" si="16"/>
        <v>2</v>
      </c>
      <c r="C37">
        <v>500</v>
      </c>
      <c r="D37" s="12">
        <v>1.243</v>
      </c>
      <c r="E37" s="12">
        <v>0.938418</v>
      </c>
      <c r="F37" s="11">
        <f t="shared" si="18"/>
        <v>0.21752781252857414</v>
      </c>
      <c r="G37" s="11">
        <f t="shared" si="19"/>
        <v>-0.06355980024115788</v>
      </c>
      <c r="H37" s="12">
        <v>1.068949</v>
      </c>
      <c r="I37" s="11">
        <f t="shared" si="20"/>
        <v>0.06667592276639152</v>
      </c>
      <c r="J37">
        <f t="shared" si="17"/>
        <v>0.24503781174577643</v>
      </c>
      <c r="K37">
        <v>0.0321</v>
      </c>
      <c r="L37">
        <v>0.5903</v>
      </c>
      <c r="M37">
        <v>0.609263</v>
      </c>
      <c r="N37">
        <f>ABS(M37-L37)/L37</f>
        <v>0.03212434355412494</v>
      </c>
      <c r="P37">
        <v>500</v>
      </c>
      <c r="Q37">
        <v>0.938418</v>
      </c>
      <c r="T37" s="2"/>
    </row>
    <row r="38" spans="2:17" ht="12.75">
      <c r="B38" s="10">
        <f t="shared" si="16"/>
        <v>1.8181818181818181</v>
      </c>
      <c r="C38">
        <v>550</v>
      </c>
      <c r="D38" s="12">
        <v>2.9414</v>
      </c>
      <c r="E38" s="12">
        <v>2.2182</v>
      </c>
      <c r="F38" s="11">
        <f t="shared" si="18"/>
        <v>1.0788856584840762</v>
      </c>
      <c r="G38" s="11">
        <f t="shared" si="19"/>
        <v>0.7966960561885041</v>
      </c>
      <c r="H38" s="12">
        <v>2.5000177674</v>
      </c>
      <c r="I38" s="11">
        <f t="shared" si="20"/>
        <v>0.9162978388089008</v>
      </c>
      <c r="J38">
        <f t="shared" si="17"/>
        <v>0.24586931393214112</v>
      </c>
      <c r="K38">
        <v>0.0941</v>
      </c>
      <c r="L38">
        <v>0.49511</v>
      </c>
      <c r="M38">
        <v>0.521217</v>
      </c>
      <c r="O38">
        <f>C38/C40</f>
        <v>0.935374149659864</v>
      </c>
      <c r="P38">
        <v>550</v>
      </c>
      <c r="Q38">
        <v>2.2182</v>
      </c>
    </row>
    <row r="39" spans="2:17" ht="12.75">
      <c r="B39" s="10">
        <f t="shared" si="16"/>
        <v>1.7699115044247788</v>
      </c>
      <c r="C39">
        <v>565</v>
      </c>
      <c r="D39" s="12">
        <v>3.521</v>
      </c>
      <c r="E39" s="12">
        <v>2.787</v>
      </c>
      <c r="F39" s="11">
        <f t="shared" si="18"/>
        <v>1.2587450401729154</v>
      </c>
      <c r="G39" s="11">
        <f t="shared" si="19"/>
        <v>1.0249657484998111</v>
      </c>
      <c r="H39" s="12">
        <v>3.129630207</v>
      </c>
      <c r="I39" s="11">
        <f t="shared" si="20"/>
        <v>1.1409148528439892</v>
      </c>
      <c r="J39">
        <f t="shared" si="17"/>
        <v>0.2084635046861687</v>
      </c>
      <c r="K39">
        <v>0.1208</v>
      </c>
      <c r="L39">
        <v>0.43916</v>
      </c>
      <c r="M39">
        <v>0.481848</v>
      </c>
      <c r="O39">
        <f>C39/C40</f>
        <v>0.9608843537414966</v>
      </c>
      <c r="P39">
        <v>565</v>
      </c>
      <c r="Q39">
        <v>2.787</v>
      </c>
    </row>
    <row r="40" spans="2:20" ht="12.75">
      <c r="B40" s="10">
        <f>1000/C40</f>
        <v>1.7006802721088434</v>
      </c>
      <c r="C40">
        <v>588</v>
      </c>
      <c r="D40" s="12">
        <f>C32/C40</f>
        <v>0.45068027210884354</v>
      </c>
      <c r="J40">
        <f>AVERAGE(J33:J39)</f>
        <v>0.21851372810976347</v>
      </c>
      <c r="N40">
        <f>AVERAGE(N33:N38)</f>
        <v>0.011285489765007466</v>
      </c>
      <c r="R40" s="2"/>
      <c r="T40" s="2"/>
    </row>
    <row r="41" spans="1:17" ht="12.75">
      <c r="A41" s="47">
        <v>1132</v>
      </c>
      <c r="C41" t="s">
        <v>5</v>
      </c>
      <c r="P41" t="s">
        <v>57</v>
      </c>
      <c r="Q41" t="s">
        <v>58</v>
      </c>
    </row>
    <row r="42" spans="2:9" ht="12.75">
      <c r="B42" s="10">
        <f>1000/C42</f>
        <v>3.508771929824561</v>
      </c>
      <c r="C42">
        <v>285</v>
      </c>
      <c r="E42" s="13">
        <v>2.3098E-07</v>
      </c>
      <c r="G42" s="10">
        <f>LN(E42)</f>
        <v>-15.28093471025947</v>
      </c>
      <c r="H42" s="13">
        <v>4.85415E-06</v>
      </c>
      <c r="I42" s="10">
        <f>LN(H42)</f>
        <v>-12.235676548788753</v>
      </c>
    </row>
    <row r="43" spans="2:17" ht="12.75">
      <c r="B43" s="10">
        <f aca="true" t="shared" si="21" ref="B43:B49">1000/C43</f>
        <v>3.3333333333333335</v>
      </c>
      <c r="C43">
        <v>300</v>
      </c>
      <c r="D43" s="12">
        <v>1.82E-05</v>
      </c>
      <c r="E43" s="13">
        <v>1.3303E-05</v>
      </c>
      <c r="F43" s="11">
        <f>LN(D43)</f>
        <v>-10.914088963881525</v>
      </c>
      <c r="G43" s="11">
        <f>LN(E43)</f>
        <v>-11.227520984262506</v>
      </c>
      <c r="H43" s="13">
        <v>2.088952754E-05</v>
      </c>
      <c r="I43" s="11">
        <f>LN(H43)</f>
        <v>-10.776262599214506</v>
      </c>
      <c r="J43">
        <f aca="true" t="shared" si="22" ref="J43:J49">ABS(E43-D43)/D43</f>
        <v>0.26906593406593404</v>
      </c>
      <c r="K43">
        <v>8.13E-07</v>
      </c>
      <c r="L43">
        <v>0.8242</v>
      </c>
      <c r="M43">
        <v>0.821659</v>
      </c>
      <c r="N43">
        <f aca="true" t="shared" si="23" ref="N43:N48">ABS(M43-L43)/L43</f>
        <v>0.0030829895656394263</v>
      </c>
      <c r="P43">
        <v>300</v>
      </c>
      <c r="Q43" s="2">
        <v>1.3303E-05</v>
      </c>
    </row>
    <row r="44" spans="2:17" ht="12.75">
      <c r="B44" s="10">
        <f t="shared" si="21"/>
        <v>2.857142857142857</v>
      </c>
      <c r="C44">
        <v>350</v>
      </c>
      <c r="D44" s="12">
        <v>0.00081</v>
      </c>
      <c r="E44" s="13">
        <v>0.00067371</v>
      </c>
      <c r="F44" s="11">
        <f aca="true" t="shared" si="24" ref="F44:F49">LN(D44)</f>
        <v>-7.1184763102977895</v>
      </c>
      <c r="G44" s="11">
        <f aca="true" t="shared" si="25" ref="G44:G49">LN(E44)</f>
        <v>-7.302710806705714</v>
      </c>
      <c r="H44" s="13">
        <v>0.0008704127126</v>
      </c>
      <c r="I44" s="11">
        <f aca="true" t="shared" si="26" ref="I44:I49">LN(H44)</f>
        <v>-7.046543076500504</v>
      </c>
      <c r="J44">
        <f t="shared" si="22"/>
        <v>0.16825925925925922</v>
      </c>
      <c r="K44">
        <v>3.46E-05</v>
      </c>
      <c r="L44">
        <v>0.7892</v>
      </c>
      <c r="M44">
        <v>0.783581</v>
      </c>
      <c r="N44">
        <f t="shared" si="23"/>
        <v>0.007119868220983326</v>
      </c>
      <c r="P44">
        <v>350</v>
      </c>
      <c r="Q44" s="2">
        <v>0.00067371</v>
      </c>
    </row>
    <row r="45" spans="2:17" ht="12.75">
      <c r="B45" s="10">
        <f t="shared" si="21"/>
        <v>2.5</v>
      </c>
      <c r="C45">
        <v>400</v>
      </c>
      <c r="D45" s="12">
        <v>0.0121</v>
      </c>
      <c r="E45" s="13">
        <v>0.009588</v>
      </c>
      <c r="F45" s="11">
        <f t="shared" si="24"/>
        <v>-4.414549826379441</v>
      </c>
      <c r="G45" s="11">
        <f t="shared" si="25"/>
        <v>-4.647242962409999</v>
      </c>
      <c r="H45" s="13">
        <v>0.01092283159</v>
      </c>
      <c r="I45" s="11">
        <f t="shared" si="26"/>
        <v>-4.516900039165066</v>
      </c>
      <c r="J45">
        <f t="shared" si="22"/>
        <v>0.207603305785124</v>
      </c>
      <c r="K45">
        <v>0.000506</v>
      </c>
      <c r="L45">
        <v>0.7432</v>
      </c>
      <c r="M45">
        <v>0.742752</v>
      </c>
      <c r="N45">
        <f t="shared" si="23"/>
        <v>0.0006027987082884875</v>
      </c>
      <c r="P45">
        <v>400</v>
      </c>
      <c r="Q45" s="2">
        <v>0.009588</v>
      </c>
    </row>
    <row r="46" spans="2:17" ht="12.75">
      <c r="B46" s="10">
        <f t="shared" si="21"/>
        <v>2.2222222222222223</v>
      </c>
      <c r="C46">
        <v>450</v>
      </c>
      <c r="D46" s="12">
        <v>0.0833</v>
      </c>
      <c r="E46" s="12">
        <v>0.061223</v>
      </c>
      <c r="F46" s="11">
        <f t="shared" si="24"/>
        <v>-2.48530672980934</v>
      </c>
      <c r="G46" s="11">
        <f t="shared" si="25"/>
        <v>-2.7932323430719106</v>
      </c>
      <c r="H46" s="13">
        <v>0.0651024254</v>
      </c>
      <c r="I46" s="11">
        <f t="shared" si="26"/>
        <v>-2.731793473933203</v>
      </c>
      <c r="J46">
        <f t="shared" si="22"/>
        <v>0.2650300120048019</v>
      </c>
      <c r="K46">
        <v>0.00302</v>
      </c>
      <c r="L46">
        <v>0.6982</v>
      </c>
      <c r="M46">
        <v>0.69822</v>
      </c>
      <c r="N46">
        <f t="shared" si="23"/>
        <v>2.8645087367386103E-05</v>
      </c>
      <c r="P46">
        <v>450</v>
      </c>
      <c r="Q46">
        <v>0.061223</v>
      </c>
    </row>
    <row r="47" spans="2:17" ht="12.75">
      <c r="B47" s="10">
        <f t="shared" si="21"/>
        <v>2</v>
      </c>
      <c r="C47">
        <v>500</v>
      </c>
      <c r="D47" s="12">
        <v>0.311</v>
      </c>
      <c r="E47" s="12">
        <v>0.23216</v>
      </c>
      <c r="F47" s="11">
        <f t="shared" si="24"/>
        <v>-1.1679623668029029</v>
      </c>
      <c r="G47" s="11">
        <f t="shared" si="25"/>
        <v>-1.4603284898462594</v>
      </c>
      <c r="H47" s="12">
        <v>0.2426559</v>
      </c>
      <c r="I47" s="11">
        <f t="shared" si="26"/>
        <v>-1.4161108885697236</v>
      </c>
      <c r="J47">
        <f t="shared" si="22"/>
        <v>0.2535048231511254</v>
      </c>
      <c r="K47">
        <v>0.01073</v>
      </c>
      <c r="L47">
        <v>0.6402</v>
      </c>
      <c r="M47">
        <v>0.648353</v>
      </c>
      <c r="N47">
        <f t="shared" si="23"/>
        <v>0.012735082786629125</v>
      </c>
      <c r="P47">
        <v>500</v>
      </c>
      <c r="Q47">
        <v>0.23216</v>
      </c>
    </row>
    <row r="48" spans="2:17" ht="12.75">
      <c r="B48" s="10">
        <f t="shared" si="21"/>
        <v>1.8181818181818181</v>
      </c>
      <c r="C48">
        <v>550</v>
      </c>
      <c r="D48" s="12">
        <v>0.814</v>
      </c>
      <c r="E48" s="12">
        <v>0.62741</v>
      </c>
      <c r="F48" s="11">
        <f t="shared" si="24"/>
        <v>-0.20579491297959682</v>
      </c>
      <c r="G48" s="11">
        <f t="shared" si="25"/>
        <v>-0.4661550445575534</v>
      </c>
      <c r="H48" s="12">
        <v>0.67070838</v>
      </c>
      <c r="I48" s="11">
        <f t="shared" si="26"/>
        <v>-0.3994208415456734</v>
      </c>
      <c r="J48">
        <f t="shared" si="22"/>
        <v>0.22922604422604415</v>
      </c>
      <c r="K48">
        <v>0.0292</v>
      </c>
      <c r="L48">
        <v>0.5723</v>
      </c>
      <c r="M48">
        <v>0.589895</v>
      </c>
      <c r="N48">
        <f t="shared" si="23"/>
        <v>0.030744364843613342</v>
      </c>
      <c r="O48">
        <f>C48/C50</f>
        <v>0.843558282208589</v>
      </c>
      <c r="P48">
        <v>550</v>
      </c>
      <c r="Q48">
        <v>0.62741</v>
      </c>
    </row>
    <row r="49" spans="2:17" ht="12.75">
      <c r="B49" s="10">
        <f t="shared" si="21"/>
        <v>1.6666666666666667</v>
      </c>
      <c r="C49">
        <v>600</v>
      </c>
      <c r="D49" s="12">
        <v>1.647</v>
      </c>
      <c r="E49" s="12">
        <v>1.3748</v>
      </c>
      <c r="F49" s="11">
        <f t="shared" si="24"/>
        <v>0.4989554511955033</v>
      </c>
      <c r="G49" s="11">
        <f t="shared" si="25"/>
        <v>0.3183082659935418</v>
      </c>
      <c r="H49" s="12">
        <v>1.5305605</v>
      </c>
      <c r="I49" s="11">
        <f t="shared" si="26"/>
        <v>0.4256340081875589</v>
      </c>
      <c r="J49">
        <f t="shared" si="22"/>
        <v>0.1652701882210079</v>
      </c>
      <c r="K49">
        <v>0.0633</v>
      </c>
      <c r="L49">
        <v>0.4696</v>
      </c>
      <c r="M49">
        <v>0.514169</v>
      </c>
      <c r="O49">
        <f>C49/C50</f>
        <v>0.9202453987730062</v>
      </c>
      <c r="P49">
        <v>600</v>
      </c>
      <c r="Q49">
        <v>1.3748</v>
      </c>
    </row>
    <row r="50" spans="3:14" ht="12.75">
      <c r="C50">
        <v>652</v>
      </c>
      <c r="D50" s="12">
        <f>C42/C50</f>
        <v>0.4371165644171779</v>
      </c>
      <c r="J50">
        <f>AVERAGE(J43:J49)</f>
        <v>0.2225656523876138</v>
      </c>
      <c r="N50">
        <f>AVERAGE(N43:N48)</f>
        <v>0.009052291535420183</v>
      </c>
    </row>
    <row r="51" ht="12.75">
      <c r="C51" t="s">
        <v>63</v>
      </c>
    </row>
    <row r="52" spans="2:9" ht="12.75">
      <c r="B52" s="10">
        <f>1000/C52</f>
        <v>3.3333333333333335</v>
      </c>
      <c r="C52">
        <v>300</v>
      </c>
      <c r="E52" s="13">
        <v>1.4024E-06</v>
      </c>
      <c r="G52" s="10">
        <f>LN(E52)</f>
        <v>-13.477325503339387</v>
      </c>
      <c r="H52" s="13">
        <v>2.36645966E-06</v>
      </c>
      <c r="I52" s="10">
        <f>LN(H52)</f>
        <v>-12.954115534016262</v>
      </c>
    </row>
    <row r="53" spans="2:9" ht="12.75">
      <c r="B53" s="10">
        <f aca="true" t="shared" si="27" ref="B53:B58">1000/C53</f>
        <v>2.857142857142857</v>
      </c>
      <c r="C53">
        <v>350</v>
      </c>
      <c r="E53" s="13">
        <v>0.00013028</v>
      </c>
      <c r="G53" s="10">
        <f aca="true" t="shared" si="28" ref="G53:G58">LN(E53)</f>
        <v>-8.945824577556241</v>
      </c>
      <c r="H53" s="13">
        <v>0.00016371087</v>
      </c>
      <c r="I53" s="10">
        <f aca="true" t="shared" si="29" ref="I53:I58">LN(H53)</f>
        <v>-8.717408673836902</v>
      </c>
    </row>
    <row r="54" spans="2:9" ht="12.75">
      <c r="B54" s="10">
        <f t="shared" si="27"/>
        <v>2.5</v>
      </c>
      <c r="C54">
        <v>400</v>
      </c>
      <c r="E54" s="13">
        <v>0.0026193</v>
      </c>
      <c r="G54" s="10">
        <f t="shared" si="28"/>
        <v>-5.944848172479403</v>
      </c>
      <c r="H54" s="13">
        <v>0.002904346</v>
      </c>
      <c r="I54" s="10">
        <f t="shared" si="29"/>
        <v>-5.841547043111399</v>
      </c>
    </row>
    <row r="55" spans="2:9" ht="12.75">
      <c r="B55" s="10">
        <f t="shared" si="27"/>
        <v>2.2222222222222223</v>
      </c>
      <c r="C55">
        <v>450</v>
      </c>
      <c r="E55" s="12">
        <v>0.020777</v>
      </c>
      <c r="G55" s="10">
        <f t="shared" si="28"/>
        <v>-3.873908673319488</v>
      </c>
      <c r="H55" s="13">
        <v>0.02206704369</v>
      </c>
      <c r="I55" s="10">
        <f t="shared" si="29"/>
        <v>-3.8136700192036956</v>
      </c>
    </row>
    <row r="56" spans="2:9" ht="12.75">
      <c r="B56" s="10">
        <f t="shared" si="27"/>
        <v>2</v>
      </c>
      <c r="C56">
        <v>500</v>
      </c>
      <c r="E56" s="12">
        <v>0.091996</v>
      </c>
      <c r="G56" s="10">
        <f t="shared" si="28"/>
        <v>-2.386010181139173</v>
      </c>
      <c r="H56" s="13">
        <v>0.09768278</v>
      </c>
      <c r="I56" s="10">
        <f t="shared" si="29"/>
        <v>-2.3260299893062135</v>
      </c>
    </row>
    <row r="57" spans="2:9" ht="12.75">
      <c r="B57" s="10">
        <f t="shared" si="27"/>
        <v>1.8181818181818181</v>
      </c>
      <c r="C57">
        <v>550</v>
      </c>
      <c r="E57" s="12">
        <v>0.281166</v>
      </c>
      <c r="G57" s="10">
        <f t="shared" si="28"/>
        <v>-1.268810036739945</v>
      </c>
      <c r="H57" s="12">
        <v>0.3052777767</v>
      </c>
      <c r="I57" s="10">
        <f t="shared" si="29"/>
        <v>-1.1865331735710622</v>
      </c>
    </row>
    <row r="58" spans="2:9" ht="12.75">
      <c r="B58" s="10">
        <f t="shared" si="27"/>
        <v>1.6666666666666667</v>
      </c>
      <c r="C58">
        <v>600</v>
      </c>
      <c r="E58" s="12">
        <v>0.679566</v>
      </c>
      <c r="G58" s="10">
        <f t="shared" si="28"/>
        <v>-0.38630091986494963</v>
      </c>
      <c r="H58" s="12">
        <v>0.76094032</v>
      </c>
      <c r="I58" s="10">
        <f t="shared" si="29"/>
        <v>-0.27320034732316933</v>
      </c>
    </row>
    <row r="60" ht="12.75">
      <c r="C60" t="s">
        <v>4</v>
      </c>
    </row>
    <row r="61" spans="2:14" ht="12.75">
      <c r="B61" s="10">
        <f>1000/C61</f>
        <v>3.3333333333333335</v>
      </c>
      <c r="C61">
        <v>300</v>
      </c>
      <c r="D61" s="12">
        <v>0.00405</v>
      </c>
      <c r="K61">
        <v>0.000141</v>
      </c>
      <c r="L61">
        <v>0.7792</v>
      </c>
      <c r="M61">
        <v>0.780454</v>
      </c>
      <c r="N61">
        <f>ABS(M61-L61)/L61</f>
        <v>0.0016093429158110593</v>
      </c>
    </row>
    <row r="62" spans="2:14" ht="12.75">
      <c r="B62" s="10">
        <f>1000/C62</f>
        <v>2.857142857142857</v>
      </c>
      <c r="C62">
        <v>350</v>
      </c>
      <c r="D62" s="12">
        <v>0.0989</v>
      </c>
      <c r="K62">
        <v>0.00222</v>
      </c>
      <c r="L62">
        <v>0.7323</v>
      </c>
      <c r="M62">
        <v>0.729124</v>
      </c>
      <c r="N62">
        <f>ABS(M62-L62)/L62</f>
        <v>0.004337020346852324</v>
      </c>
    </row>
    <row r="63" spans="2:14" ht="12.75">
      <c r="B63" s="10">
        <f>1000/C63</f>
        <v>2.5</v>
      </c>
      <c r="C63">
        <v>400</v>
      </c>
      <c r="D63" s="12">
        <v>0.524</v>
      </c>
      <c r="K63">
        <v>0.0121</v>
      </c>
      <c r="L63">
        <v>0.6614</v>
      </c>
      <c r="M63">
        <v>0.668372</v>
      </c>
      <c r="N63">
        <f>ABS(M63-L63)/L63</f>
        <v>0.010541276081040185</v>
      </c>
    </row>
    <row r="64" spans="2:15" ht="12.75">
      <c r="B64" s="10">
        <f>1000/C64</f>
        <v>2.2222222222222223</v>
      </c>
      <c r="C64">
        <v>450</v>
      </c>
      <c r="D64" s="12">
        <v>1.776</v>
      </c>
      <c r="K64">
        <v>0.0393</v>
      </c>
      <c r="L64">
        <v>0.5665</v>
      </c>
      <c r="M64">
        <v>0.589256</v>
      </c>
      <c r="N64">
        <f>ABS(M64-L64)/L64</f>
        <v>0.04016946160635481</v>
      </c>
      <c r="O64">
        <f>C64/C66</f>
        <v>0.8858267716535433</v>
      </c>
    </row>
    <row r="65" spans="2:15" ht="12.75">
      <c r="B65" s="10">
        <f>1000/C65</f>
        <v>2.0408163265306123</v>
      </c>
      <c r="C65">
        <v>490</v>
      </c>
      <c r="D65" s="12">
        <v>3.75</v>
      </c>
      <c r="K65">
        <v>0.10212</v>
      </c>
      <c r="L65">
        <v>0.3882</v>
      </c>
      <c r="M65">
        <v>0.486857</v>
      </c>
      <c r="O65">
        <f>C65/C66</f>
        <v>0.9645669291338582</v>
      </c>
    </row>
    <row r="66" spans="3:14" ht="12.75">
      <c r="C66">
        <v>508</v>
      </c>
      <c r="N66">
        <f>AVERAGE(N61:N65)</f>
        <v>0.014164275237514595</v>
      </c>
    </row>
    <row r="67" ht="12.75">
      <c r="C67" t="s">
        <v>6</v>
      </c>
    </row>
    <row r="68" spans="2:14" ht="12.75">
      <c r="B68" s="10">
        <f>1000/C68</f>
        <v>3.3333333333333335</v>
      </c>
      <c r="C68">
        <v>300</v>
      </c>
      <c r="D68" s="12">
        <v>0.00341</v>
      </c>
      <c r="K68">
        <v>0.0001013</v>
      </c>
      <c r="L68">
        <v>0.7942</v>
      </c>
      <c r="M68">
        <v>0.803738</v>
      </c>
      <c r="N68">
        <f>ABS(M68-L68)/L68</f>
        <v>0.012009569377990349</v>
      </c>
    </row>
    <row r="69" spans="2:14" ht="12.75">
      <c r="B69" s="10">
        <f>1000/C69</f>
        <v>2.857142857142857</v>
      </c>
      <c r="C69">
        <v>350</v>
      </c>
      <c r="D69" s="12">
        <v>0.0432</v>
      </c>
      <c r="K69">
        <v>0.00111</v>
      </c>
      <c r="L69">
        <v>0.7512</v>
      </c>
      <c r="M69">
        <v>0.750927</v>
      </c>
      <c r="N69">
        <f>ABS(M69-L69)/L69</f>
        <v>0.00036341853035139475</v>
      </c>
    </row>
    <row r="70" spans="2:14" ht="12.75">
      <c r="B70" s="10">
        <f>1000/C70</f>
        <v>2.5</v>
      </c>
      <c r="C70">
        <v>400</v>
      </c>
      <c r="D70" s="12">
        <v>0.322</v>
      </c>
      <c r="K70">
        <v>0.00835</v>
      </c>
      <c r="L70">
        <v>0.6933</v>
      </c>
      <c r="M70">
        <v>0.691223</v>
      </c>
      <c r="N70">
        <f>ABS(M70-L70)/L70</f>
        <v>0.0029958171065916565</v>
      </c>
    </row>
    <row r="71" spans="2:15" ht="12.75">
      <c r="B71" s="10">
        <f>1000/C71</f>
        <v>2.2222222222222223</v>
      </c>
      <c r="C71">
        <v>450</v>
      </c>
      <c r="D71" s="12">
        <v>1.115</v>
      </c>
      <c r="K71">
        <v>0.0261</v>
      </c>
      <c r="L71">
        <v>0.6094</v>
      </c>
      <c r="M71">
        <v>0.619804</v>
      </c>
      <c r="N71">
        <f>ABS(M71-L71)/L71</f>
        <v>0.01707253035772886</v>
      </c>
      <c r="O71">
        <f>C71/C73</f>
        <v>0.8395522388059702</v>
      </c>
    </row>
    <row r="72" spans="2:15" ht="12.75">
      <c r="B72" s="10">
        <f>1000/C72</f>
        <v>2</v>
      </c>
      <c r="C72">
        <v>500</v>
      </c>
      <c r="D72" s="12">
        <v>3.21</v>
      </c>
      <c r="K72">
        <v>0.1007</v>
      </c>
      <c r="L72">
        <v>0.4838</v>
      </c>
      <c r="M72">
        <v>0.521503</v>
      </c>
      <c r="N72">
        <f>ABS(M72-L72)/L72</f>
        <v>0.07793096320793726</v>
      </c>
      <c r="O72">
        <f>C72/C73</f>
        <v>0.9328358208955224</v>
      </c>
    </row>
    <row r="73" spans="3:14" ht="12.75">
      <c r="C73">
        <v>536</v>
      </c>
      <c r="N73">
        <f>AVERAGE(N68:N72)</f>
        <v>0.022074459716119904</v>
      </c>
    </row>
    <row r="74" ht="12.75">
      <c r="C74" t="s">
        <v>7</v>
      </c>
    </row>
    <row r="75" spans="2:14" ht="12.75">
      <c r="B75" s="10">
        <f>1000/C75</f>
        <v>3.3333333333333335</v>
      </c>
      <c r="C75">
        <v>300</v>
      </c>
      <c r="D75" s="12">
        <v>0.00633</v>
      </c>
      <c r="K75">
        <v>0.000191</v>
      </c>
      <c r="L75">
        <v>0.7791</v>
      </c>
      <c r="M75">
        <v>0.78124</v>
      </c>
      <c r="N75">
        <f>ABS(M75-L75)/L75</f>
        <v>0.0027467590809909263</v>
      </c>
    </row>
    <row r="76" spans="2:14" ht="12.75">
      <c r="B76" s="10">
        <f>1000/C76</f>
        <v>2.857142857142857</v>
      </c>
      <c r="C76">
        <v>350</v>
      </c>
      <c r="D76" s="12">
        <v>0.1138</v>
      </c>
      <c r="K76">
        <v>0.00302</v>
      </c>
      <c r="L76">
        <v>0.7232</v>
      </c>
      <c r="M76">
        <v>0.72205</v>
      </c>
      <c r="N76">
        <f>ABS(M76-L76)/L76</f>
        <v>0.0015901548672566156</v>
      </c>
    </row>
    <row r="77" spans="2:14" ht="12.75">
      <c r="B77" s="10">
        <f>1000/C77</f>
        <v>2.5</v>
      </c>
      <c r="C77">
        <v>400</v>
      </c>
      <c r="D77" s="12">
        <v>0.66123</v>
      </c>
      <c r="K77">
        <v>0.0171</v>
      </c>
      <c r="L77">
        <v>0.6603</v>
      </c>
      <c r="M77">
        <v>0.6534</v>
      </c>
      <c r="N77">
        <f>ABS(M77-L77)/L77</f>
        <v>0.010449795547478446</v>
      </c>
    </row>
    <row r="78" spans="2:15" ht="12.75">
      <c r="B78" s="10">
        <f>1000/C78</f>
        <v>2.2222222222222223</v>
      </c>
      <c r="C78">
        <v>450</v>
      </c>
      <c r="D78" s="12">
        <v>1.7215</v>
      </c>
      <c r="K78">
        <v>0.0527</v>
      </c>
      <c r="L78">
        <v>0.5571</v>
      </c>
      <c r="M78">
        <v>0.56619</v>
      </c>
      <c r="N78">
        <f>ABS(M78-L78)/L78</f>
        <v>0.016316639741518455</v>
      </c>
      <c r="O78">
        <f>C78/C80</f>
        <v>0.8893280632411067</v>
      </c>
    </row>
    <row r="79" spans="2:15" ht="12.75">
      <c r="B79" s="10">
        <f>1000/C79</f>
        <v>2.0833333333333335</v>
      </c>
      <c r="C79">
        <v>480</v>
      </c>
      <c r="D79" s="12">
        <v>3.72</v>
      </c>
      <c r="K79">
        <v>0.1563</v>
      </c>
      <c r="L79">
        <v>0.1563</v>
      </c>
      <c r="M79">
        <v>0.45612</v>
      </c>
      <c r="O79">
        <f>C79/C80</f>
        <v>0.9486166007905138</v>
      </c>
    </row>
    <row r="80" spans="3:14" ht="12.75">
      <c r="C80">
        <v>506</v>
      </c>
      <c r="N80">
        <f>AVERAGE(N75:N79)</f>
        <v>0.00777583730931111</v>
      </c>
    </row>
    <row r="81" ht="12.75">
      <c r="C81" t="s">
        <v>8</v>
      </c>
    </row>
    <row r="82" spans="2:14" ht="12.75">
      <c r="B82" s="10">
        <f>1000/C82</f>
        <v>2</v>
      </c>
      <c r="C82">
        <v>500</v>
      </c>
      <c r="D82" s="12">
        <v>0.0775</v>
      </c>
      <c r="K82">
        <v>0.00201</v>
      </c>
      <c r="L82">
        <v>0.8233</v>
      </c>
      <c r="M82">
        <v>0.847001</v>
      </c>
      <c r="N82">
        <f>ABS(M82-L82)/L82</f>
        <v>0.02878780517429852</v>
      </c>
    </row>
    <row r="83" spans="2:14" ht="12.75">
      <c r="B83" s="10">
        <f>1000/C83</f>
        <v>1.8181818181818181</v>
      </c>
      <c r="C83">
        <v>550</v>
      </c>
      <c r="D83" s="12">
        <v>0.322</v>
      </c>
      <c r="K83">
        <v>0.00785</v>
      </c>
      <c r="L83">
        <v>0.7712</v>
      </c>
      <c r="M83">
        <v>0.79625</v>
      </c>
      <c r="N83">
        <f>ABS(M83-L83)/L83</f>
        <v>0.03248184647302907</v>
      </c>
    </row>
    <row r="84" spans="2:15" ht="12.75">
      <c r="B84" s="10">
        <f>1000/C84</f>
        <v>1.6666666666666667</v>
      </c>
      <c r="C84">
        <v>600</v>
      </c>
      <c r="D84" s="12">
        <v>0.902</v>
      </c>
      <c r="K84">
        <v>0.0221</v>
      </c>
      <c r="L84">
        <v>0.7052</v>
      </c>
      <c r="M84">
        <v>0.729591</v>
      </c>
      <c r="N84">
        <f>ABS(M84-L84)/L84</f>
        <v>0.034587351106069114</v>
      </c>
      <c r="O84">
        <f>C84/C86</f>
        <v>0.8450704225352113</v>
      </c>
    </row>
    <row r="85" spans="2:15" ht="12.75">
      <c r="B85" s="10">
        <f>1000/C85</f>
        <v>1.5384615384615385</v>
      </c>
      <c r="C85">
        <v>650</v>
      </c>
      <c r="D85" s="12">
        <v>2.11</v>
      </c>
      <c r="K85">
        <v>0.0616</v>
      </c>
      <c r="L85">
        <v>0.6215</v>
      </c>
      <c r="M85">
        <v>0.617676</v>
      </c>
      <c r="O85">
        <f>C85/C86</f>
        <v>0.9154929577464789</v>
      </c>
    </row>
    <row r="86" spans="2:14" ht="12.75">
      <c r="B86" s="10">
        <f>1000/C86</f>
        <v>1.408450704225352</v>
      </c>
      <c r="C86">
        <v>710</v>
      </c>
      <c r="N86">
        <f>AVERAGE(N82:N85)</f>
        <v>0.03195233425113223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Akron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Richard Elliott</dc:creator>
  <cp:keywords/>
  <dc:description/>
  <cp:lastModifiedBy>FSE</cp:lastModifiedBy>
  <dcterms:created xsi:type="dcterms:W3CDTF">2005-08-30T14:48:24Z</dcterms:created>
  <dcterms:modified xsi:type="dcterms:W3CDTF">2008-07-16T20:53:13Z</dcterms:modified>
  <cp:category/>
  <cp:version/>
  <cp:contentType/>
  <cp:contentStatus/>
</cp:coreProperties>
</file>