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1680" yWindow="1680" windowWidth="23360" windowHeight="13920" tabRatio="1000"/>
  </bookViews>
  <sheets>
    <sheet name="P1 Deformation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  <c r="M3" i="1"/>
  <c r="N3" i="1"/>
  <c r="O3" i="1"/>
  <c r="L4" i="1"/>
  <c r="M4" i="1"/>
  <c r="N4" i="1"/>
  <c r="O4" i="1"/>
  <c r="L5" i="1"/>
  <c r="M5" i="1"/>
  <c r="N5" i="1"/>
  <c r="O5" i="1"/>
  <c r="L6" i="1"/>
  <c r="M6" i="1"/>
  <c r="N6" i="1"/>
  <c r="O6" i="1"/>
  <c r="L7" i="1"/>
  <c r="M7" i="1"/>
  <c r="N7" i="1"/>
  <c r="O7" i="1"/>
  <c r="L8" i="1"/>
  <c r="M8" i="1"/>
  <c r="N8" i="1"/>
  <c r="O8" i="1"/>
  <c r="L9" i="1"/>
  <c r="M9" i="1"/>
  <c r="N9" i="1"/>
  <c r="O9" i="1"/>
  <c r="L10" i="1"/>
  <c r="M10" i="1"/>
  <c r="N10" i="1"/>
  <c r="O10" i="1"/>
  <c r="L11" i="1"/>
  <c r="M11" i="1"/>
  <c r="N11" i="1"/>
  <c r="O11" i="1"/>
  <c r="L12" i="1"/>
  <c r="M12" i="1"/>
  <c r="N12" i="1"/>
  <c r="O12" i="1"/>
  <c r="L13" i="1"/>
  <c r="M13" i="1"/>
  <c r="N13" i="1"/>
  <c r="O13" i="1"/>
  <c r="L14" i="1"/>
  <c r="M14" i="1"/>
  <c r="N14" i="1"/>
  <c r="O14" i="1"/>
  <c r="L15" i="1"/>
  <c r="M15" i="1"/>
  <c r="N15" i="1"/>
  <c r="O15" i="1"/>
  <c r="L16" i="1"/>
  <c r="M16" i="1"/>
  <c r="N16" i="1"/>
  <c r="O16" i="1"/>
  <c r="L17" i="1"/>
  <c r="M17" i="1"/>
  <c r="N17" i="1"/>
  <c r="O17" i="1"/>
  <c r="L18" i="1"/>
  <c r="M18" i="1"/>
  <c r="N18" i="1"/>
  <c r="O18" i="1"/>
  <c r="L19" i="1"/>
  <c r="M19" i="1"/>
  <c r="N19" i="1"/>
  <c r="O19" i="1"/>
  <c r="L20" i="1"/>
  <c r="M20" i="1"/>
  <c r="N20" i="1"/>
  <c r="O20" i="1"/>
  <c r="L21" i="1"/>
  <c r="M21" i="1"/>
  <c r="N21" i="1"/>
  <c r="O21" i="1"/>
  <c r="L22" i="1"/>
  <c r="M22" i="1"/>
  <c r="N22" i="1"/>
  <c r="O22" i="1"/>
  <c r="L23" i="1"/>
  <c r="M23" i="1"/>
  <c r="N23" i="1"/>
  <c r="O23" i="1"/>
  <c r="L24" i="1"/>
  <c r="M24" i="1"/>
  <c r="N24" i="1"/>
  <c r="O24" i="1"/>
  <c r="L25" i="1"/>
  <c r="M25" i="1"/>
  <c r="N25" i="1"/>
  <c r="O25" i="1"/>
  <c r="L26" i="1"/>
  <c r="M26" i="1"/>
  <c r="N26" i="1"/>
  <c r="O26" i="1"/>
  <c r="L27" i="1"/>
  <c r="M27" i="1"/>
  <c r="N27" i="1"/>
  <c r="O27" i="1"/>
  <c r="L28" i="1"/>
  <c r="M28" i="1"/>
  <c r="N28" i="1"/>
  <c r="O28" i="1"/>
  <c r="L29" i="1"/>
  <c r="M29" i="1"/>
  <c r="N29" i="1"/>
  <c r="O29" i="1"/>
  <c r="L30" i="1"/>
  <c r="M30" i="1"/>
  <c r="N30" i="1"/>
  <c r="O30" i="1"/>
  <c r="L31" i="1"/>
  <c r="M31" i="1"/>
  <c r="N31" i="1"/>
  <c r="O31" i="1"/>
  <c r="L32" i="1"/>
  <c r="M32" i="1"/>
  <c r="N32" i="1"/>
  <c r="O32" i="1"/>
  <c r="L33" i="1"/>
  <c r="M33" i="1"/>
  <c r="N33" i="1"/>
  <c r="O33" i="1"/>
  <c r="L34" i="1"/>
  <c r="M34" i="1"/>
  <c r="N34" i="1"/>
  <c r="O34" i="1"/>
  <c r="L35" i="1"/>
  <c r="M35" i="1"/>
  <c r="N35" i="1"/>
  <c r="O35" i="1"/>
  <c r="L36" i="1"/>
  <c r="M36" i="1"/>
  <c r="N36" i="1"/>
  <c r="O36" i="1"/>
  <c r="L37" i="1"/>
  <c r="M37" i="1"/>
  <c r="N37" i="1"/>
  <c r="O37" i="1"/>
  <c r="L38" i="1"/>
  <c r="M38" i="1"/>
  <c r="N38" i="1"/>
  <c r="O38" i="1"/>
  <c r="L39" i="1"/>
  <c r="M39" i="1"/>
  <c r="N39" i="1"/>
  <c r="O39" i="1"/>
  <c r="L40" i="1"/>
  <c r="M40" i="1"/>
  <c r="N40" i="1"/>
  <c r="O40" i="1"/>
  <c r="L41" i="1"/>
  <c r="M41" i="1"/>
  <c r="N41" i="1"/>
  <c r="O41" i="1"/>
  <c r="L42" i="1"/>
  <c r="M42" i="1"/>
  <c r="N42" i="1"/>
  <c r="O42" i="1"/>
  <c r="L43" i="1"/>
  <c r="M43" i="1"/>
  <c r="N43" i="1"/>
  <c r="O43" i="1"/>
  <c r="L44" i="1"/>
  <c r="M44" i="1"/>
  <c r="N44" i="1"/>
  <c r="O44" i="1"/>
  <c r="L45" i="1"/>
  <c r="M45" i="1"/>
  <c r="N45" i="1"/>
  <c r="O45" i="1"/>
  <c r="L46" i="1"/>
  <c r="M46" i="1"/>
  <c r="N46" i="1"/>
  <c r="O46" i="1"/>
  <c r="L47" i="1"/>
  <c r="M47" i="1"/>
  <c r="N47" i="1"/>
  <c r="O47" i="1"/>
  <c r="L48" i="1"/>
  <c r="M48" i="1"/>
  <c r="N48" i="1"/>
  <c r="O48" i="1"/>
  <c r="L49" i="1"/>
  <c r="M49" i="1"/>
  <c r="N49" i="1"/>
  <c r="O49" i="1"/>
  <c r="L50" i="1"/>
  <c r="M50" i="1"/>
  <c r="N50" i="1"/>
  <c r="O50" i="1"/>
  <c r="L51" i="1"/>
  <c r="M51" i="1"/>
  <c r="N51" i="1"/>
  <c r="O51" i="1"/>
  <c r="L52" i="1"/>
  <c r="M52" i="1"/>
  <c r="N52" i="1"/>
  <c r="O52" i="1"/>
  <c r="L53" i="1"/>
  <c r="M53" i="1"/>
  <c r="N53" i="1"/>
  <c r="O53" i="1"/>
  <c r="L54" i="1"/>
  <c r="M54" i="1"/>
  <c r="N54" i="1"/>
  <c r="O54" i="1"/>
  <c r="L55" i="1"/>
  <c r="M55" i="1"/>
  <c r="N55" i="1"/>
  <c r="O55" i="1"/>
  <c r="L56" i="1"/>
  <c r="M56" i="1"/>
  <c r="N56" i="1"/>
  <c r="O56" i="1"/>
  <c r="L57" i="1"/>
  <c r="M57" i="1"/>
  <c r="N57" i="1"/>
  <c r="O57" i="1"/>
  <c r="L58" i="1"/>
  <c r="M58" i="1"/>
  <c r="N58" i="1"/>
  <c r="O58" i="1"/>
  <c r="L59" i="1"/>
  <c r="M59" i="1"/>
  <c r="N59" i="1"/>
  <c r="O59" i="1"/>
  <c r="L60" i="1"/>
  <c r="M60" i="1"/>
  <c r="N60" i="1"/>
  <c r="O60" i="1"/>
  <c r="L61" i="1"/>
  <c r="M61" i="1"/>
  <c r="N61" i="1"/>
  <c r="O61" i="1"/>
  <c r="L62" i="1"/>
  <c r="M62" i="1"/>
  <c r="N62" i="1"/>
  <c r="O62" i="1"/>
  <c r="L63" i="1"/>
  <c r="M63" i="1"/>
  <c r="N63" i="1"/>
  <c r="O63" i="1"/>
  <c r="L64" i="1"/>
  <c r="M64" i="1"/>
  <c r="N64" i="1"/>
  <c r="O64" i="1"/>
  <c r="L65" i="1"/>
  <c r="M65" i="1"/>
  <c r="N65" i="1"/>
  <c r="O65" i="1"/>
  <c r="L66" i="1"/>
  <c r="M66" i="1"/>
  <c r="N66" i="1"/>
  <c r="O66" i="1"/>
  <c r="L67" i="1"/>
  <c r="M67" i="1"/>
  <c r="N67" i="1"/>
  <c r="O67" i="1"/>
  <c r="L68" i="1"/>
  <c r="M68" i="1"/>
  <c r="N68" i="1"/>
  <c r="O68" i="1"/>
  <c r="L69" i="1"/>
  <c r="M69" i="1"/>
  <c r="N69" i="1"/>
  <c r="O69" i="1"/>
  <c r="L70" i="1"/>
  <c r="M70" i="1"/>
  <c r="N70" i="1"/>
  <c r="O70" i="1"/>
  <c r="L71" i="1"/>
  <c r="M71" i="1"/>
  <c r="N71" i="1"/>
  <c r="O71" i="1"/>
  <c r="L72" i="1"/>
  <c r="M72" i="1"/>
  <c r="N72" i="1"/>
  <c r="O72" i="1"/>
  <c r="L73" i="1"/>
  <c r="M73" i="1"/>
  <c r="N73" i="1"/>
  <c r="O73" i="1"/>
  <c r="L74" i="1"/>
  <c r="M74" i="1"/>
  <c r="N74" i="1"/>
  <c r="O74" i="1"/>
  <c r="L75" i="1"/>
  <c r="M75" i="1"/>
  <c r="N75" i="1"/>
  <c r="O75" i="1"/>
  <c r="L76" i="1"/>
  <c r="M76" i="1"/>
  <c r="N76" i="1"/>
  <c r="O76" i="1"/>
  <c r="L77" i="1"/>
  <c r="M77" i="1"/>
  <c r="N77" i="1"/>
  <c r="O77" i="1"/>
  <c r="L78" i="1"/>
  <c r="M78" i="1"/>
  <c r="N78" i="1"/>
  <c r="O78" i="1"/>
  <c r="L79" i="1"/>
  <c r="M79" i="1"/>
  <c r="N79" i="1"/>
  <c r="O79" i="1"/>
  <c r="L80" i="1"/>
  <c r="M80" i="1"/>
  <c r="N80" i="1"/>
  <c r="O80" i="1"/>
  <c r="L81" i="1"/>
  <c r="M81" i="1"/>
  <c r="N81" i="1"/>
  <c r="O81" i="1"/>
  <c r="L82" i="1"/>
  <c r="M82" i="1"/>
  <c r="N82" i="1"/>
  <c r="O82" i="1"/>
  <c r="L83" i="1"/>
  <c r="M83" i="1"/>
  <c r="N83" i="1"/>
  <c r="O83" i="1"/>
  <c r="L84" i="1"/>
  <c r="M84" i="1"/>
  <c r="N84" i="1"/>
  <c r="O84" i="1"/>
  <c r="L85" i="1"/>
  <c r="M85" i="1"/>
  <c r="N85" i="1"/>
  <c r="O85" i="1"/>
  <c r="L86" i="1"/>
  <c r="M86" i="1"/>
  <c r="N86" i="1"/>
  <c r="O86" i="1"/>
  <c r="L87" i="1"/>
  <c r="M87" i="1"/>
  <c r="N87" i="1"/>
  <c r="O87" i="1"/>
  <c r="L88" i="1"/>
  <c r="M88" i="1"/>
  <c r="N88" i="1"/>
  <c r="O88" i="1"/>
  <c r="L89" i="1"/>
  <c r="M89" i="1"/>
  <c r="N89" i="1"/>
  <c r="O89" i="1"/>
  <c r="L90" i="1"/>
  <c r="M90" i="1"/>
  <c r="N90" i="1"/>
  <c r="O90" i="1"/>
  <c r="L91" i="1"/>
  <c r="M91" i="1"/>
  <c r="N91" i="1"/>
  <c r="O91" i="1"/>
  <c r="L92" i="1"/>
  <c r="M92" i="1"/>
  <c r="N92" i="1"/>
  <c r="O92" i="1"/>
  <c r="L93" i="1"/>
  <c r="M93" i="1"/>
  <c r="N93" i="1"/>
  <c r="O93" i="1"/>
  <c r="L94" i="1"/>
  <c r="M94" i="1"/>
  <c r="N94" i="1"/>
  <c r="O94" i="1"/>
  <c r="L95" i="1"/>
  <c r="M95" i="1"/>
  <c r="N95" i="1"/>
  <c r="O95" i="1"/>
  <c r="L96" i="1"/>
  <c r="M96" i="1"/>
  <c r="N96" i="1"/>
  <c r="O96" i="1"/>
  <c r="L97" i="1"/>
  <c r="M97" i="1"/>
  <c r="N97" i="1"/>
  <c r="O97" i="1"/>
  <c r="L98" i="1"/>
  <c r="M98" i="1"/>
  <c r="N98" i="1"/>
  <c r="O98" i="1"/>
  <c r="L99" i="1"/>
  <c r="M99" i="1"/>
  <c r="N99" i="1"/>
  <c r="O99" i="1"/>
  <c r="L100" i="1"/>
  <c r="M100" i="1"/>
  <c r="N100" i="1"/>
  <c r="O100" i="1"/>
  <c r="L101" i="1"/>
  <c r="M101" i="1"/>
  <c r="N101" i="1"/>
  <c r="O101" i="1"/>
  <c r="L102" i="1"/>
  <c r="M102" i="1"/>
  <c r="N102" i="1"/>
  <c r="O102" i="1"/>
  <c r="L103" i="1"/>
  <c r="M103" i="1"/>
  <c r="N103" i="1"/>
  <c r="O103" i="1"/>
  <c r="L104" i="1"/>
  <c r="M104" i="1"/>
  <c r="N104" i="1"/>
  <c r="O104" i="1"/>
  <c r="L105" i="1"/>
  <c r="M105" i="1"/>
  <c r="N105" i="1"/>
  <c r="O105" i="1"/>
  <c r="L106" i="1"/>
  <c r="M106" i="1"/>
  <c r="N106" i="1"/>
  <c r="O106" i="1"/>
  <c r="L107" i="1"/>
  <c r="M107" i="1"/>
  <c r="N107" i="1"/>
  <c r="O107" i="1"/>
  <c r="L108" i="1"/>
  <c r="M108" i="1"/>
  <c r="N108" i="1"/>
  <c r="O108" i="1"/>
  <c r="L109" i="1"/>
  <c r="M109" i="1"/>
  <c r="N109" i="1"/>
  <c r="O109" i="1"/>
  <c r="L110" i="1"/>
  <c r="M110" i="1"/>
  <c r="N110" i="1"/>
  <c r="O110" i="1"/>
  <c r="L111" i="1"/>
  <c r="M111" i="1"/>
  <c r="N111" i="1"/>
  <c r="O111" i="1"/>
  <c r="L112" i="1"/>
  <c r="M112" i="1"/>
  <c r="N112" i="1"/>
  <c r="O112" i="1"/>
  <c r="L113" i="1"/>
  <c r="M113" i="1"/>
  <c r="N113" i="1"/>
  <c r="O113" i="1"/>
  <c r="L114" i="1"/>
  <c r="M114" i="1"/>
  <c r="N114" i="1"/>
  <c r="O114" i="1"/>
  <c r="L115" i="1"/>
  <c r="M115" i="1"/>
  <c r="N115" i="1"/>
  <c r="O115" i="1"/>
  <c r="L116" i="1"/>
  <c r="M116" i="1"/>
  <c r="N116" i="1"/>
  <c r="O116" i="1"/>
  <c r="L117" i="1"/>
  <c r="M117" i="1"/>
  <c r="N117" i="1"/>
  <c r="O117" i="1"/>
  <c r="L118" i="1"/>
  <c r="M118" i="1"/>
  <c r="N118" i="1"/>
  <c r="O118" i="1"/>
  <c r="L119" i="1"/>
  <c r="M119" i="1"/>
  <c r="N119" i="1"/>
  <c r="O119" i="1"/>
  <c r="L120" i="1"/>
  <c r="M120" i="1"/>
  <c r="N120" i="1"/>
  <c r="O120" i="1"/>
  <c r="L121" i="1"/>
  <c r="M121" i="1"/>
  <c r="N121" i="1"/>
  <c r="O121" i="1"/>
  <c r="L122" i="1"/>
  <c r="M122" i="1"/>
  <c r="N122" i="1"/>
  <c r="O122" i="1"/>
  <c r="L123" i="1"/>
  <c r="M123" i="1"/>
  <c r="N123" i="1"/>
  <c r="O123" i="1"/>
  <c r="L124" i="1"/>
  <c r="M124" i="1"/>
  <c r="N124" i="1"/>
  <c r="O124" i="1"/>
  <c r="L125" i="1"/>
  <c r="M125" i="1"/>
  <c r="N125" i="1"/>
  <c r="O125" i="1"/>
  <c r="L126" i="1"/>
  <c r="M126" i="1"/>
  <c r="N126" i="1"/>
  <c r="O126" i="1"/>
  <c r="L127" i="1"/>
  <c r="M127" i="1"/>
  <c r="N127" i="1"/>
  <c r="O127" i="1"/>
  <c r="L128" i="1"/>
  <c r="M128" i="1"/>
  <c r="N128" i="1"/>
  <c r="O128" i="1"/>
  <c r="L129" i="1"/>
  <c r="M129" i="1"/>
  <c r="N129" i="1"/>
  <c r="O129" i="1"/>
  <c r="L130" i="1"/>
  <c r="M130" i="1"/>
  <c r="N130" i="1"/>
  <c r="O130" i="1"/>
  <c r="L131" i="1"/>
  <c r="M131" i="1"/>
  <c r="N131" i="1"/>
  <c r="O131" i="1"/>
  <c r="L132" i="1"/>
  <c r="M132" i="1"/>
  <c r="N132" i="1"/>
  <c r="O132" i="1"/>
  <c r="L133" i="1"/>
  <c r="M133" i="1"/>
  <c r="N133" i="1"/>
  <c r="O133" i="1"/>
  <c r="L134" i="1"/>
  <c r="M134" i="1"/>
  <c r="N134" i="1"/>
  <c r="O134" i="1"/>
  <c r="L135" i="1"/>
  <c r="M135" i="1"/>
  <c r="N135" i="1"/>
  <c r="O135" i="1"/>
  <c r="L136" i="1"/>
  <c r="M136" i="1"/>
  <c r="N136" i="1"/>
  <c r="O136" i="1"/>
  <c r="L137" i="1"/>
  <c r="M137" i="1"/>
  <c r="N137" i="1"/>
  <c r="O137" i="1"/>
  <c r="L138" i="1"/>
  <c r="M138" i="1"/>
  <c r="N138" i="1"/>
  <c r="O138" i="1"/>
  <c r="L139" i="1"/>
  <c r="M139" i="1"/>
  <c r="N139" i="1"/>
  <c r="O139" i="1"/>
  <c r="L140" i="1"/>
  <c r="M140" i="1"/>
  <c r="N140" i="1"/>
  <c r="O140" i="1"/>
  <c r="L141" i="1"/>
  <c r="M141" i="1"/>
  <c r="N141" i="1"/>
  <c r="O141" i="1"/>
  <c r="L142" i="1"/>
  <c r="M142" i="1"/>
  <c r="N142" i="1"/>
  <c r="O142" i="1"/>
  <c r="L143" i="1"/>
  <c r="M143" i="1"/>
  <c r="N143" i="1"/>
  <c r="O143" i="1"/>
  <c r="L144" i="1"/>
  <c r="M144" i="1"/>
  <c r="N144" i="1"/>
  <c r="O144" i="1"/>
  <c r="L145" i="1"/>
  <c r="M145" i="1"/>
  <c r="N145" i="1"/>
  <c r="O145" i="1"/>
  <c r="L146" i="1"/>
  <c r="M146" i="1"/>
  <c r="N146" i="1"/>
  <c r="O146" i="1"/>
  <c r="L147" i="1"/>
  <c r="M147" i="1"/>
  <c r="N147" i="1"/>
  <c r="O147" i="1"/>
  <c r="L148" i="1"/>
  <c r="M148" i="1"/>
  <c r="N148" i="1"/>
  <c r="O148" i="1"/>
  <c r="L149" i="1"/>
  <c r="M149" i="1"/>
  <c r="N149" i="1"/>
  <c r="O149" i="1"/>
  <c r="L150" i="1"/>
  <c r="M150" i="1"/>
  <c r="N150" i="1"/>
  <c r="O150" i="1"/>
  <c r="L151" i="1"/>
  <c r="M151" i="1"/>
  <c r="N151" i="1"/>
  <c r="O151" i="1"/>
  <c r="L152" i="1"/>
  <c r="M152" i="1"/>
  <c r="N152" i="1"/>
  <c r="O152" i="1"/>
  <c r="L153" i="1"/>
  <c r="M153" i="1"/>
  <c r="N153" i="1"/>
  <c r="O153" i="1"/>
  <c r="L154" i="1"/>
  <c r="M154" i="1"/>
  <c r="N154" i="1"/>
  <c r="O154" i="1"/>
  <c r="L155" i="1"/>
  <c r="M155" i="1"/>
  <c r="N155" i="1"/>
  <c r="O155" i="1"/>
  <c r="L156" i="1"/>
  <c r="M156" i="1"/>
  <c r="N156" i="1"/>
  <c r="O156" i="1"/>
  <c r="L157" i="1"/>
  <c r="M157" i="1"/>
  <c r="N157" i="1"/>
  <c r="O157" i="1"/>
  <c r="L158" i="1"/>
  <c r="M158" i="1"/>
  <c r="N158" i="1"/>
  <c r="O158" i="1"/>
  <c r="L159" i="1"/>
  <c r="M159" i="1"/>
  <c r="N159" i="1"/>
  <c r="O159" i="1"/>
  <c r="L160" i="1"/>
  <c r="M160" i="1"/>
  <c r="N160" i="1"/>
  <c r="O160" i="1"/>
  <c r="L161" i="1"/>
  <c r="M161" i="1"/>
  <c r="N161" i="1"/>
  <c r="O161" i="1"/>
  <c r="L162" i="1"/>
  <c r="M162" i="1"/>
  <c r="N162" i="1"/>
  <c r="O162" i="1"/>
  <c r="L163" i="1"/>
  <c r="M163" i="1"/>
  <c r="N163" i="1"/>
  <c r="O163" i="1"/>
  <c r="L164" i="1"/>
  <c r="M164" i="1"/>
  <c r="N164" i="1"/>
  <c r="O164" i="1"/>
  <c r="L165" i="1"/>
  <c r="M165" i="1"/>
  <c r="N165" i="1"/>
  <c r="O165" i="1"/>
  <c r="L166" i="1"/>
  <c r="M166" i="1"/>
  <c r="N166" i="1"/>
  <c r="O166" i="1"/>
  <c r="L167" i="1"/>
  <c r="M167" i="1"/>
  <c r="N167" i="1"/>
  <c r="O167" i="1"/>
  <c r="L168" i="1"/>
  <c r="M168" i="1"/>
  <c r="N168" i="1"/>
  <c r="O168" i="1"/>
  <c r="L169" i="1"/>
  <c r="M169" i="1"/>
  <c r="N169" i="1"/>
  <c r="O169" i="1"/>
  <c r="L170" i="1"/>
  <c r="M170" i="1"/>
  <c r="N170" i="1"/>
  <c r="O170" i="1"/>
  <c r="L171" i="1"/>
  <c r="M171" i="1"/>
  <c r="N171" i="1"/>
  <c r="O171" i="1"/>
  <c r="L172" i="1"/>
  <c r="M172" i="1"/>
  <c r="N172" i="1"/>
  <c r="O172" i="1"/>
  <c r="L173" i="1"/>
  <c r="M173" i="1"/>
  <c r="N173" i="1"/>
  <c r="O173" i="1"/>
  <c r="L174" i="1"/>
  <c r="M174" i="1"/>
  <c r="N174" i="1"/>
  <c r="O174" i="1"/>
  <c r="L175" i="1"/>
  <c r="M175" i="1"/>
  <c r="N175" i="1"/>
  <c r="O175" i="1"/>
  <c r="L176" i="1"/>
  <c r="M176" i="1"/>
  <c r="N176" i="1"/>
  <c r="O176" i="1"/>
  <c r="L177" i="1"/>
  <c r="M177" i="1"/>
  <c r="N177" i="1"/>
  <c r="O177" i="1"/>
  <c r="L178" i="1"/>
  <c r="M178" i="1"/>
  <c r="N178" i="1"/>
  <c r="O178" i="1"/>
  <c r="L179" i="1"/>
  <c r="M179" i="1"/>
  <c r="N179" i="1"/>
  <c r="O179" i="1"/>
  <c r="L180" i="1"/>
  <c r="M180" i="1"/>
  <c r="N180" i="1"/>
  <c r="O180" i="1"/>
  <c r="L181" i="1"/>
  <c r="M181" i="1"/>
  <c r="N181" i="1"/>
  <c r="O181" i="1"/>
  <c r="L182" i="1"/>
  <c r="M182" i="1"/>
  <c r="N182" i="1"/>
  <c r="O182" i="1"/>
  <c r="L183" i="1"/>
  <c r="M183" i="1"/>
  <c r="N183" i="1"/>
  <c r="O183" i="1"/>
  <c r="L184" i="1"/>
  <c r="M184" i="1"/>
  <c r="N184" i="1"/>
  <c r="O184" i="1"/>
  <c r="L185" i="1"/>
  <c r="M185" i="1"/>
  <c r="N185" i="1"/>
  <c r="O185" i="1"/>
  <c r="L186" i="1"/>
  <c r="M186" i="1"/>
  <c r="N186" i="1"/>
  <c r="O186" i="1"/>
  <c r="L187" i="1"/>
  <c r="M187" i="1"/>
  <c r="N187" i="1"/>
  <c r="O187" i="1"/>
  <c r="L188" i="1"/>
  <c r="M188" i="1"/>
  <c r="N188" i="1"/>
  <c r="O188" i="1"/>
  <c r="L189" i="1"/>
  <c r="M189" i="1"/>
  <c r="N189" i="1"/>
  <c r="O189" i="1"/>
  <c r="L190" i="1"/>
  <c r="M190" i="1"/>
  <c r="N190" i="1"/>
  <c r="O190" i="1"/>
  <c r="L191" i="1"/>
  <c r="M191" i="1"/>
  <c r="N191" i="1"/>
  <c r="O191" i="1"/>
  <c r="L192" i="1"/>
  <c r="M192" i="1"/>
  <c r="N192" i="1"/>
  <c r="O192" i="1"/>
  <c r="L193" i="1"/>
  <c r="M193" i="1"/>
  <c r="N193" i="1"/>
  <c r="O193" i="1"/>
  <c r="L194" i="1"/>
  <c r="M194" i="1"/>
  <c r="N194" i="1"/>
  <c r="O194" i="1"/>
  <c r="L195" i="1"/>
  <c r="M195" i="1"/>
  <c r="N195" i="1"/>
  <c r="O195" i="1"/>
  <c r="L196" i="1"/>
  <c r="M196" i="1"/>
  <c r="N196" i="1"/>
  <c r="O196" i="1"/>
  <c r="L197" i="1"/>
  <c r="M197" i="1"/>
  <c r="N197" i="1"/>
  <c r="O197" i="1"/>
  <c r="L198" i="1"/>
  <c r="M198" i="1"/>
  <c r="N198" i="1"/>
  <c r="O198" i="1"/>
  <c r="L199" i="1"/>
  <c r="M199" i="1"/>
  <c r="N199" i="1"/>
  <c r="O199" i="1"/>
  <c r="L200" i="1"/>
  <c r="M200" i="1"/>
  <c r="N200" i="1"/>
  <c r="O200" i="1"/>
  <c r="L201" i="1"/>
  <c r="M201" i="1"/>
  <c r="N201" i="1"/>
  <c r="O201" i="1"/>
  <c r="L202" i="1"/>
  <c r="M202" i="1"/>
  <c r="N202" i="1"/>
  <c r="O202" i="1"/>
  <c r="L203" i="1"/>
  <c r="M203" i="1"/>
  <c r="N203" i="1"/>
  <c r="O203" i="1"/>
  <c r="L204" i="1"/>
  <c r="M204" i="1"/>
  <c r="N204" i="1"/>
  <c r="O204" i="1"/>
  <c r="L205" i="1"/>
  <c r="M205" i="1"/>
  <c r="N205" i="1"/>
  <c r="O205" i="1"/>
  <c r="L206" i="1"/>
  <c r="M206" i="1"/>
  <c r="N206" i="1"/>
  <c r="O206" i="1"/>
  <c r="L207" i="1"/>
  <c r="M207" i="1"/>
  <c r="N207" i="1"/>
  <c r="O207" i="1"/>
  <c r="L208" i="1"/>
  <c r="M208" i="1"/>
  <c r="N208" i="1"/>
  <c r="O208" i="1"/>
  <c r="L209" i="1"/>
  <c r="M209" i="1"/>
  <c r="N209" i="1"/>
  <c r="O209" i="1"/>
  <c r="L210" i="1"/>
  <c r="M210" i="1"/>
  <c r="N210" i="1"/>
  <c r="O210" i="1"/>
  <c r="L211" i="1"/>
  <c r="M211" i="1"/>
  <c r="N211" i="1"/>
  <c r="O211" i="1"/>
  <c r="L212" i="1"/>
  <c r="M212" i="1"/>
  <c r="N212" i="1"/>
  <c r="O212" i="1"/>
  <c r="L213" i="1"/>
  <c r="M213" i="1"/>
  <c r="N213" i="1"/>
  <c r="O213" i="1"/>
  <c r="L214" i="1"/>
  <c r="M214" i="1"/>
  <c r="N214" i="1"/>
  <c r="O214" i="1"/>
  <c r="L215" i="1"/>
  <c r="M215" i="1"/>
  <c r="N215" i="1"/>
  <c r="O215" i="1"/>
  <c r="L216" i="1"/>
  <c r="M216" i="1"/>
  <c r="N216" i="1"/>
  <c r="O216" i="1"/>
  <c r="L217" i="1"/>
  <c r="M217" i="1"/>
  <c r="N217" i="1"/>
  <c r="O217" i="1"/>
  <c r="L218" i="1"/>
  <c r="M218" i="1"/>
  <c r="N218" i="1"/>
  <c r="O218" i="1"/>
  <c r="L219" i="1"/>
  <c r="M219" i="1"/>
  <c r="N219" i="1"/>
  <c r="O219" i="1"/>
  <c r="L220" i="1"/>
  <c r="M220" i="1"/>
  <c r="N220" i="1"/>
  <c r="O220" i="1"/>
  <c r="L221" i="1"/>
  <c r="M221" i="1"/>
  <c r="N221" i="1"/>
  <c r="O221" i="1"/>
  <c r="L222" i="1"/>
  <c r="M222" i="1"/>
  <c r="N222" i="1"/>
  <c r="O222" i="1"/>
  <c r="L223" i="1"/>
  <c r="M223" i="1"/>
  <c r="N223" i="1"/>
  <c r="O223" i="1"/>
  <c r="L224" i="1"/>
  <c r="M224" i="1"/>
  <c r="N224" i="1"/>
  <c r="O224" i="1"/>
  <c r="L225" i="1"/>
  <c r="M225" i="1"/>
  <c r="N225" i="1"/>
  <c r="O225" i="1"/>
  <c r="L226" i="1"/>
  <c r="M226" i="1"/>
  <c r="N226" i="1"/>
  <c r="O226" i="1"/>
  <c r="L227" i="1"/>
  <c r="M227" i="1"/>
  <c r="N227" i="1"/>
  <c r="O227" i="1"/>
  <c r="L228" i="1"/>
  <c r="M228" i="1"/>
  <c r="N228" i="1"/>
  <c r="O228" i="1"/>
  <c r="L229" i="1"/>
  <c r="M229" i="1"/>
  <c r="N229" i="1"/>
  <c r="O229" i="1"/>
  <c r="L230" i="1"/>
  <c r="M230" i="1"/>
  <c r="N230" i="1"/>
  <c r="O230" i="1"/>
  <c r="L231" i="1"/>
  <c r="M231" i="1"/>
  <c r="N231" i="1"/>
  <c r="O231" i="1"/>
  <c r="L232" i="1"/>
  <c r="M232" i="1"/>
  <c r="N232" i="1"/>
  <c r="O232" i="1"/>
  <c r="L233" i="1"/>
  <c r="M233" i="1"/>
  <c r="N233" i="1"/>
  <c r="O233" i="1"/>
  <c r="L234" i="1"/>
  <c r="M234" i="1"/>
  <c r="N234" i="1"/>
  <c r="O234" i="1"/>
  <c r="L235" i="1"/>
  <c r="M235" i="1"/>
  <c r="N235" i="1"/>
  <c r="O235" i="1"/>
  <c r="L236" i="1"/>
  <c r="M236" i="1"/>
  <c r="N236" i="1"/>
  <c r="O236" i="1"/>
  <c r="L237" i="1"/>
  <c r="M237" i="1"/>
  <c r="N237" i="1"/>
  <c r="O237" i="1"/>
  <c r="L238" i="1"/>
  <c r="M238" i="1"/>
  <c r="N238" i="1"/>
  <c r="O238" i="1"/>
  <c r="L239" i="1"/>
  <c r="M239" i="1"/>
  <c r="N239" i="1"/>
  <c r="O239" i="1"/>
  <c r="L240" i="1"/>
  <c r="M240" i="1"/>
  <c r="N240" i="1"/>
  <c r="O240" i="1"/>
  <c r="L241" i="1"/>
  <c r="M241" i="1"/>
  <c r="N241" i="1"/>
  <c r="O241" i="1"/>
  <c r="L242" i="1"/>
  <c r="M242" i="1"/>
  <c r="N242" i="1"/>
  <c r="O242" i="1"/>
  <c r="L243" i="1"/>
  <c r="M243" i="1"/>
  <c r="N243" i="1"/>
  <c r="O243" i="1"/>
  <c r="L244" i="1"/>
  <c r="M244" i="1"/>
  <c r="N244" i="1"/>
  <c r="O244" i="1"/>
  <c r="L245" i="1"/>
  <c r="M245" i="1"/>
  <c r="N245" i="1"/>
  <c r="O245" i="1"/>
  <c r="L246" i="1"/>
  <c r="M246" i="1"/>
  <c r="N246" i="1"/>
  <c r="O246" i="1"/>
  <c r="L247" i="1"/>
  <c r="M247" i="1"/>
  <c r="N247" i="1"/>
  <c r="O247" i="1"/>
  <c r="L248" i="1"/>
  <c r="M248" i="1"/>
  <c r="N248" i="1"/>
  <c r="O248" i="1"/>
  <c r="L249" i="1"/>
  <c r="M249" i="1"/>
  <c r="N249" i="1"/>
  <c r="O249" i="1"/>
  <c r="L250" i="1"/>
  <c r="M250" i="1"/>
  <c r="N250" i="1"/>
  <c r="O250" i="1"/>
  <c r="L251" i="1"/>
  <c r="M251" i="1"/>
  <c r="N251" i="1"/>
  <c r="O251" i="1"/>
  <c r="L252" i="1"/>
  <c r="M252" i="1"/>
  <c r="N252" i="1"/>
  <c r="O252" i="1"/>
  <c r="L253" i="1"/>
  <c r="M253" i="1"/>
  <c r="N253" i="1"/>
  <c r="O253" i="1"/>
  <c r="L254" i="1"/>
  <c r="M254" i="1"/>
  <c r="N254" i="1"/>
  <c r="O254" i="1"/>
  <c r="L255" i="1"/>
  <c r="M255" i="1"/>
  <c r="N255" i="1"/>
  <c r="O255" i="1"/>
  <c r="L256" i="1"/>
  <c r="M256" i="1"/>
  <c r="N256" i="1"/>
  <c r="O256" i="1"/>
  <c r="L257" i="1"/>
  <c r="M257" i="1"/>
  <c r="N257" i="1"/>
  <c r="O257" i="1"/>
  <c r="L258" i="1"/>
  <c r="M258" i="1"/>
  <c r="N258" i="1"/>
  <c r="O258" i="1"/>
  <c r="L259" i="1"/>
  <c r="M259" i="1"/>
  <c r="N259" i="1"/>
  <c r="O259" i="1"/>
  <c r="L260" i="1"/>
  <c r="M260" i="1"/>
  <c r="N260" i="1"/>
  <c r="O260" i="1"/>
  <c r="L261" i="1"/>
  <c r="M261" i="1"/>
  <c r="N261" i="1"/>
  <c r="O261" i="1"/>
  <c r="L262" i="1"/>
  <c r="M262" i="1"/>
  <c r="N262" i="1"/>
  <c r="O262" i="1"/>
  <c r="L263" i="1"/>
  <c r="M263" i="1"/>
  <c r="N263" i="1"/>
  <c r="O263" i="1"/>
  <c r="L264" i="1"/>
  <c r="M264" i="1"/>
  <c r="N264" i="1"/>
  <c r="O264" i="1"/>
  <c r="L265" i="1"/>
  <c r="M265" i="1"/>
  <c r="N265" i="1"/>
  <c r="O265" i="1"/>
  <c r="L266" i="1"/>
  <c r="M266" i="1"/>
  <c r="N266" i="1"/>
  <c r="O266" i="1"/>
  <c r="L267" i="1"/>
  <c r="M267" i="1"/>
  <c r="N267" i="1"/>
  <c r="O267" i="1"/>
  <c r="L268" i="1"/>
  <c r="M268" i="1"/>
  <c r="N268" i="1"/>
  <c r="O268" i="1"/>
  <c r="L269" i="1"/>
  <c r="M269" i="1"/>
  <c r="N269" i="1"/>
  <c r="O269" i="1"/>
  <c r="L270" i="1"/>
  <c r="M270" i="1"/>
  <c r="N270" i="1"/>
  <c r="O270" i="1"/>
  <c r="L271" i="1"/>
  <c r="M271" i="1"/>
  <c r="N271" i="1"/>
  <c r="O271" i="1"/>
  <c r="L272" i="1"/>
  <c r="M272" i="1"/>
  <c r="N272" i="1"/>
  <c r="O272" i="1"/>
  <c r="L273" i="1"/>
  <c r="M273" i="1"/>
  <c r="N273" i="1"/>
  <c r="O273" i="1"/>
  <c r="L274" i="1"/>
  <c r="M274" i="1"/>
  <c r="N274" i="1"/>
  <c r="O274" i="1"/>
  <c r="L275" i="1"/>
  <c r="M275" i="1"/>
  <c r="N275" i="1"/>
  <c r="O275" i="1"/>
  <c r="L276" i="1"/>
  <c r="M276" i="1"/>
  <c r="N276" i="1"/>
  <c r="O276" i="1"/>
  <c r="L277" i="1"/>
  <c r="M277" i="1"/>
  <c r="N277" i="1"/>
  <c r="O277" i="1"/>
  <c r="L278" i="1"/>
  <c r="M278" i="1"/>
  <c r="N278" i="1"/>
  <c r="O278" i="1"/>
  <c r="L279" i="1"/>
  <c r="M279" i="1"/>
  <c r="N279" i="1"/>
  <c r="O279" i="1"/>
  <c r="L280" i="1"/>
  <c r="M280" i="1"/>
  <c r="N280" i="1"/>
  <c r="O280" i="1"/>
  <c r="L281" i="1"/>
  <c r="M281" i="1"/>
  <c r="N281" i="1"/>
  <c r="O281" i="1"/>
  <c r="L282" i="1"/>
  <c r="M282" i="1"/>
  <c r="N282" i="1"/>
  <c r="O282" i="1"/>
  <c r="L283" i="1"/>
  <c r="M283" i="1"/>
  <c r="N283" i="1"/>
  <c r="O283" i="1"/>
  <c r="L284" i="1"/>
  <c r="M284" i="1"/>
  <c r="N284" i="1"/>
  <c r="O284" i="1"/>
  <c r="L285" i="1"/>
  <c r="M285" i="1"/>
  <c r="N285" i="1"/>
  <c r="O285" i="1"/>
  <c r="L286" i="1"/>
  <c r="M286" i="1"/>
  <c r="N286" i="1"/>
  <c r="O286" i="1"/>
  <c r="L287" i="1"/>
  <c r="M287" i="1"/>
  <c r="N287" i="1"/>
  <c r="O287" i="1"/>
  <c r="L288" i="1"/>
  <c r="M288" i="1"/>
  <c r="N288" i="1"/>
  <c r="O288" i="1"/>
  <c r="L289" i="1"/>
  <c r="M289" i="1"/>
  <c r="N289" i="1"/>
  <c r="O289" i="1"/>
  <c r="L290" i="1"/>
  <c r="M290" i="1"/>
  <c r="N290" i="1"/>
  <c r="O290" i="1"/>
  <c r="L291" i="1"/>
  <c r="M291" i="1"/>
  <c r="N291" i="1"/>
  <c r="O291" i="1"/>
  <c r="L292" i="1"/>
  <c r="M292" i="1"/>
  <c r="N292" i="1"/>
  <c r="O292" i="1"/>
  <c r="L293" i="1"/>
  <c r="M293" i="1"/>
  <c r="N293" i="1"/>
  <c r="O293" i="1"/>
  <c r="L294" i="1"/>
  <c r="M294" i="1"/>
  <c r="N294" i="1"/>
  <c r="O294" i="1"/>
  <c r="L295" i="1"/>
  <c r="M295" i="1"/>
  <c r="N295" i="1"/>
  <c r="O295" i="1"/>
  <c r="L296" i="1"/>
  <c r="M296" i="1"/>
  <c r="N296" i="1"/>
  <c r="O296" i="1"/>
  <c r="L297" i="1"/>
  <c r="M297" i="1"/>
  <c r="N297" i="1"/>
  <c r="O297" i="1"/>
  <c r="L298" i="1"/>
  <c r="M298" i="1"/>
  <c r="N298" i="1"/>
  <c r="O298" i="1"/>
  <c r="O299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G300" i="1"/>
  <c r="G299" i="1"/>
  <c r="Q298" i="1"/>
  <c r="R298" i="1"/>
  <c r="S298" i="1"/>
  <c r="T298" i="1"/>
  <c r="Q4" i="1"/>
  <c r="R4" i="1"/>
  <c r="S4" i="1"/>
  <c r="T4" i="1"/>
  <c r="Q5" i="1"/>
  <c r="R5" i="1"/>
  <c r="S5" i="1"/>
  <c r="T5" i="1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15" i="1"/>
  <c r="R15" i="1"/>
  <c r="S15" i="1"/>
  <c r="T15" i="1"/>
  <c r="Q16" i="1"/>
  <c r="R16" i="1"/>
  <c r="S16" i="1"/>
  <c r="T16" i="1"/>
  <c r="Q17" i="1"/>
  <c r="R17" i="1"/>
  <c r="S17" i="1"/>
  <c r="T17" i="1"/>
  <c r="Q18" i="1"/>
  <c r="R18" i="1"/>
  <c r="S18" i="1"/>
  <c r="T18" i="1"/>
  <c r="Q19" i="1"/>
  <c r="R19" i="1"/>
  <c r="S19" i="1"/>
  <c r="T19" i="1"/>
  <c r="Q20" i="1"/>
  <c r="R20" i="1"/>
  <c r="S20" i="1"/>
  <c r="T20" i="1"/>
  <c r="Q21" i="1"/>
  <c r="R21" i="1"/>
  <c r="S21" i="1"/>
  <c r="T21" i="1"/>
  <c r="Q22" i="1"/>
  <c r="R22" i="1"/>
  <c r="S22" i="1"/>
  <c r="T22" i="1"/>
  <c r="Q23" i="1"/>
  <c r="R23" i="1"/>
  <c r="S23" i="1"/>
  <c r="T23" i="1"/>
  <c r="Q24" i="1"/>
  <c r="R24" i="1"/>
  <c r="S24" i="1"/>
  <c r="T24" i="1"/>
  <c r="Q25" i="1"/>
  <c r="R25" i="1"/>
  <c r="S25" i="1"/>
  <c r="T25" i="1"/>
  <c r="Q26" i="1"/>
  <c r="R26" i="1"/>
  <c r="S26" i="1"/>
  <c r="T26" i="1"/>
  <c r="Q27" i="1"/>
  <c r="R27" i="1"/>
  <c r="S27" i="1"/>
  <c r="T27" i="1"/>
  <c r="Q28" i="1"/>
  <c r="R28" i="1"/>
  <c r="S28" i="1"/>
  <c r="T28" i="1"/>
  <c r="Q29" i="1"/>
  <c r="R29" i="1"/>
  <c r="S29" i="1"/>
  <c r="T29" i="1"/>
  <c r="Q30" i="1"/>
  <c r="R30" i="1"/>
  <c r="S30" i="1"/>
  <c r="T30" i="1"/>
  <c r="Q31" i="1"/>
  <c r="R31" i="1"/>
  <c r="S31" i="1"/>
  <c r="T31" i="1"/>
  <c r="Q32" i="1"/>
  <c r="R32" i="1"/>
  <c r="S32" i="1"/>
  <c r="T32" i="1"/>
  <c r="Q33" i="1"/>
  <c r="R33" i="1"/>
  <c r="S33" i="1"/>
  <c r="T33" i="1"/>
  <c r="Q34" i="1"/>
  <c r="R34" i="1"/>
  <c r="S34" i="1"/>
  <c r="T34" i="1"/>
  <c r="Q35" i="1"/>
  <c r="R35" i="1"/>
  <c r="S35" i="1"/>
  <c r="T35" i="1"/>
  <c r="Q36" i="1"/>
  <c r="R36" i="1"/>
  <c r="S36" i="1"/>
  <c r="T36" i="1"/>
  <c r="Q37" i="1"/>
  <c r="R37" i="1"/>
  <c r="S37" i="1"/>
  <c r="T37" i="1"/>
  <c r="Q38" i="1"/>
  <c r="R38" i="1"/>
  <c r="S38" i="1"/>
  <c r="T38" i="1"/>
  <c r="Q39" i="1"/>
  <c r="R39" i="1"/>
  <c r="S39" i="1"/>
  <c r="T39" i="1"/>
  <c r="Q40" i="1"/>
  <c r="R40" i="1"/>
  <c r="S40" i="1"/>
  <c r="T40" i="1"/>
  <c r="Q41" i="1"/>
  <c r="R41" i="1"/>
  <c r="S41" i="1"/>
  <c r="T41" i="1"/>
  <c r="Q42" i="1"/>
  <c r="R42" i="1"/>
  <c r="S42" i="1"/>
  <c r="T42" i="1"/>
  <c r="Q43" i="1"/>
  <c r="R43" i="1"/>
  <c r="S43" i="1"/>
  <c r="T43" i="1"/>
  <c r="Q44" i="1"/>
  <c r="R44" i="1"/>
  <c r="S44" i="1"/>
  <c r="T44" i="1"/>
  <c r="Q45" i="1"/>
  <c r="R45" i="1"/>
  <c r="S45" i="1"/>
  <c r="T45" i="1"/>
  <c r="Q46" i="1"/>
  <c r="R46" i="1"/>
  <c r="S46" i="1"/>
  <c r="T46" i="1"/>
  <c r="Q47" i="1"/>
  <c r="R47" i="1"/>
  <c r="S47" i="1"/>
  <c r="T47" i="1"/>
  <c r="Q48" i="1"/>
  <c r="R48" i="1"/>
  <c r="S48" i="1"/>
  <c r="T48" i="1"/>
  <c r="Q49" i="1"/>
  <c r="R49" i="1"/>
  <c r="S49" i="1"/>
  <c r="T49" i="1"/>
  <c r="Q50" i="1"/>
  <c r="R50" i="1"/>
  <c r="S50" i="1"/>
  <c r="T50" i="1"/>
  <c r="Q51" i="1"/>
  <c r="R51" i="1"/>
  <c r="S51" i="1"/>
  <c r="T51" i="1"/>
  <c r="Q52" i="1"/>
  <c r="R52" i="1"/>
  <c r="S52" i="1"/>
  <c r="T52" i="1"/>
  <c r="Q53" i="1"/>
  <c r="R53" i="1"/>
  <c r="S53" i="1"/>
  <c r="T53" i="1"/>
  <c r="Q54" i="1"/>
  <c r="R54" i="1"/>
  <c r="S54" i="1"/>
  <c r="T54" i="1"/>
  <c r="Q55" i="1"/>
  <c r="R55" i="1"/>
  <c r="S55" i="1"/>
  <c r="T55" i="1"/>
  <c r="Q56" i="1"/>
  <c r="R56" i="1"/>
  <c r="S56" i="1"/>
  <c r="T56" i="1"/>
  <c r="Q57" i="1"/>
  <c r="R57" i="1"/>
  <c r="S57" i="1"/>
  <c r="T57" i="1"/>
  <c r="Q58" i="1"/>
  <c r="R58" i="1"/>
  <c r="S58" i="1"/>
  <c r="T58" i="1"/>
  <c r="Q59" i="1"/>
  <c r="R59" i="1"/>
  <c r="S59" i="1"/>
  <c r="T59" i="1"/>
  <c r="Q60" i="1"/>
  <c r="R60" i="1"/>
  <c r="S60" i="1"/>
  <c r="T60" i="1"/>
  <c r="Q61" i="1"/>
  <c r="R61" i="1"/>
  <c r="S61" i="1"/>
  <c r="T61" i="1"/>
  <c r="Q62" i="1"/>
  <c r="R62" i="1"/>
  <c r="S62" i="1"/>
  <c r="T62" i="1"/>
  <c r="Q63" i="1"/>
  <c r="R63" i="1"/>
  <c r="S63" i="1"/>
  <c r="T63" i="1"/>
  <c r="Q64" i="1"/>
  <c r="R64" i="1"/>
  <c r="S64" i="1"/>
  <c r="T64" i="1"/>
  <c r="Q65" i="1"/>
  <c r="R65" i="1"/>
  <c r="S65" i="1"/>
  <c r="T65" i="1"/>
  <c r="Q66" i="1"/>
  <c r="R66" i="1"/>
  <c r="S66" i="1"/>
  <c r="T66" i="1"/>
  <c r="Q67" i="1"/>
  <c r="R67" i="1"/>
  <c r="S67" i="1"/>
  <c r="T67" i="1"/>
  <c r="Q68" i="1"/>
  <c r="R68" i="1"/>
  <c r="S68" i="1"/>
  <c r="T68" i="1"/>
  <c r="Q69" i="1"/>
  <c r="R69" i="1"/>
  <c r="S69" i="1"/>
  <c r="T69" i="1"/>
  <c r="Q70" i="1"/>
  <c r="R70" i="1"/>
  <c r="S70" i="1"/>
  <c r="T70" i="1"/>
  <c r="Q71" i="1"/>
  <c r="R71" i="1"/>
  <c r="S71" i="1"/>
  <c r="T71" i="1"/>
  <c r="Q72" i="1"/>
  <c r="R72" i="1"/>
  <c r="S72" i="1"/>
  <c r="T72" i="1"/>
  <c r="Q73" i="1"/>
  <c r="R73" i="1"/>
  <c r="S73" i="1"/>
  <c r="T73" i="1"/>
  <c r="Q74" i="1"/>
  <c r="R74" i="1"/>
  <c r="S74" i="1"/>
  <c r="T74" i="1"/>
  <c r="Q75" i="1"/>
  <c r="R75" i="1"/>
  <c r="S75" i="1"/>
  <c r="T75" i="1"/>
  <c r="Q76" i="1"/>
  <c r="R76" i="1"/>
  <c r="S76" i="1"/>
  <c r="T76" i="1"/>
  <c r="Q77" i="1"/>
  <c r="R77" i="1"/>
  <c r="S77" i="1"/>
  <c r="T77" i="1"/>
  <c r="Q78" i="1"/>
  <c r="R78" i="1"/>
  <c r="S78" i="1"/>
  <c r="T78" i="1"/>
  <c r="Q79" i="1"/>
  <c r="R79" i="1"/>
  <c r="S79" i="1"/>
  <c r="T79" i="1"/>
  <c r="Q80" i="1"/>
  <c r="R80" i="1"/>
  <c r="S80" i="1"/>
  <c r="T80" i="1"/>
  <c r="Q81" i="1"/>
  <c r="R81" i="1"/>
  <c r="S81" i="1"/>
  <c r="T81" i="1"/>
  <c r="Q82" i="1"/>
  <c r="R82" i="1"/>
  <c r="S82" i="1"/>
  <c r="T82" i="1"/>
  <c r="Q83" i="1"/>
  <c r="R83" i="1"/>
  <c r="S83" i="1"/>
  <c r="T83" i="1"/>
  <c r="Q84" i="1"/>
  <c r="R84" i="1"/>
  <c r="S84" i="1"/>
  <c r="T84" i="1"/>
  <c r="Q85" i="1"/>
  <c r="R85" i="1"/>
  <c r="S85" i="1"/>
  <c r="T85" i="1"/>
  <c r="Q86" i="1"/>
  <c r="R86" i="1"/>
  <c r="S86" i="1"/>
  <c r="T86" i="1"/>
  <c r="Q87" i="1"/>
  <c r="R87" i="1"/>
  <c r="S87" i="1"/>
  <c r="T87" i="1"/>
  <c r="Q88" i="1"/>
  <c r="R88" i="1"/>
  <c r="S88" i="1"/>
  <c r="T88" i="1"/>
  <c r="Q89" i="1"/>
  <c r="R89" i="1"/>
  <c r="S89" i="1"/>
  <c r="T89" i="1"/>
  <c r="Q90" i="1"/>
  <c r="R90" i="1"/>
  <c r="S90" i="1"/>
  <c r="T90" i="1"/>
  <c r="Q91" i="1"/>
  <c r="R91" i="1"/>
  <c r="S91" i="1"/>
  <c r="T91" i="1"/>
  <c r="Q92" i="1"/>
  <c r="R92" i="1"/>
  <c r="S92" i="1"/>
  <c r="T92" i="1"/>
  <c r="Q93" i="1"/>
  <c r="R93" i="1"/>
  <c r="S93" i="1"/>
  <c r="T93" i="1"/>
  <c r="Q94" i="1"/>
  <c r="R94" i="1"/>
  <c r="S94" i="1"/>
  <c r="T94" i="1"/>
  <c r="Q95" i="1"/>
  <c r="R95" i="1"/>
  <c r="S95" i="1"/>
  <c r="T95" i="1"/>
  <c r="Q96" i="1"/>
  <c r="R96" i="1"/>
  <c r="S96" i="1"/>
  <c r="T96" i="1"/>
  <c r="Q97" i="1"/>
  <c r="R97" i="1"/>
  <c r="S97" i="1"/>
  <c r="T97" i="1"/>
  <c r="Q98" i="1"/>
  <c r="R98" i="1"/>
  <c r="S98" i="1"/>
  <c r="T98" i="1"/>
  <c r="Q99" i="1"/>
  <c r="R99" i="1"/>
  <c r="S99" i="1"/>
  <c r="T99" i="1"/>
  <c r="Q100" i="1"/>
  <c r="R100" i="1"/>
  <c r="S100" i="1"/>
  <c r="T100" i="1"/>
  <c r="Q101" i="1"/>
  <c r="R101" i="1"/>
  <c r="S101" i="1"/>
  <c r="T101" i="1"/>
  <c r="Q102" i="1"/>
  <c r="R102" i="1"/>
  <c r="S102" i="1"/>
  <c r="T102" i="1"/>
  <c r="Q103" i="1"/>
  <c r="R103" i="1"/>
  <c r="S103" i="1"/>
  <c r="T103" i="1"/>
  <c r="Q104" i="1"/>
  <c r="R104" i="1"/>
  <c r="S104" i="1"/>
  <c r="T104" i="1"/>
  <c r="Q105" i="1"/>
  <c r="R105" i="1"/>
  <c r="S105" i="1"/>
  <c r="T105" i="1"/>
  <c r="Q106" i="1"/>
  <c r="R106" i="1"/>
  <c r="S106" i="1"/>
  <c r="T106" i="1"/>
  <c r="Q107" i="1"/>
  <c r="R107" i="1"/>
  <c r="S107" i="1"/>
  <c r="T107" i="1"/>
  <c r="Q108" i="1"/>
  <c r="R108" i="1"/>
  <c r="S108" i="1"/>
  <c r="T108" i="1"/>
  <c r="Q109" i="1"/>
  <c r="R109" i="1"/>
  <c r="S109" i="1"/>
  <c r="T109" i="1"/>
  <c r="Q110" i="1"/>
  <c r="R110" i="1"/>
  <c r="S110" i="1"/>
  <c r="T110" i="1"/>
  <c r="Q111" i="1"/>
  <c r="R111" i="1"/>
  <c r="S111" i="1"/>
  <c r="T111" i="1"/>
  <c r="Q112" i="1"/>
  <c r="R112" i="1"/>
  <c r="S112" i="1"/>
  <c r="T112" i="1"/>
  <c r="Q113" i="1"/>
  <c r="R113" i="1"/>
  <c r="S113" i="1"/>
  <c r="T113" i="1"/>
  <c r="Q114" i="1"/>
  <c r="R114" i="1"/>
  <c r="S114" i="1"/>
  <c r="T114" i="1"/>
  <c r="Q115" i="1"/>
  <c r="R115" i="1"/>
  <c r="S115" i="1"/>
  <c r="T115" i="1"/>
  <c r="Q116" i="1"/>
  <c r="R116" i="1"/>
  <c r="S116" i="1"/>
  <c r="T116" i="1"/>
  <c r="Q117" i="1"/>
  <c r="R117" i="1"/>
  <c r="S117" i="1"/>
  <c r="T117" i="1"/>
  <c r="Q118" i="1"/>
  <c r="R118" i="1"/>
  <c r="S118" i="1"/>
  <c r="T118" i="1"/>
  <c r="Q119" i="1"/>
  <c r="R119" i="1"/>
  <c r="S119" i="1"/>
  <c r="T119" i="1"/>
  <c r="Q120" i="1"/>
  <c r="R120" i="1"/>
  <c r="S120" i="1"/>
  <c r="T120" i="1"/>
  <c r="Q121" i="1"/>
  <c r="R121" i="1"/>
  <c r="S121" i="1"/>
  <c r="T121" i="1"/>
  <c r="Q122" i="1"/>
  <c r="R122" i="1"/>
  <c r="S122" i="1"/>
  <c r="T122" i="1"/>
  <c r="Q123" i="1"/>
  <c r="R123" i="1"/>
  <c r="S123" i="1"/>
  <c r="T123" i="1"/>
  <c r="Q124" i="1"/>
  <c r="R124" i="1"/>
  <c r="S124" i="1"/>
  <c r="T124" i="1"/>
  <c r="Q125" i="1"/>
  <c r="R125" i="1"/>
  <c r="S125" i="1"/>
  <c r="T125" i="1"/>
  <c r="Q126" i="1"/>
  <c r="R126" i="1"/>
  <c r="S126" i="1"/>
  <c r="T126" i="1"/>
  <c r="Q127" i="1"/>
  <c r="R127" i="1"/>
  <c r="S127" i="1"/>
  <c r="T127" i="1"/>
  <c r="Q128" i="1"/>
  <c r="R128" i="1"/>
  <c r="S128" i="1"/>
  <c r="T128" i="1"/>
  <c r="Q129" i="1"/>
  <c r="R129" i="1"/>
  <c r="S129" i="1"/>
  <c r="T129" i="1"/>
  <c r="Q130" i="1"/>
  <c r="R130" i="1"/>
  <c r="S130" i="1"/>
  <c r="T130" i="1"/>
  <c r="Q131" i="1"/>
  <c r="R131" i="1"/>
  <c r="S131" i="1"/>
  <c r="T131" i="1"/>
  <c r="Q132" i="1"/>
  <c r="R132" i="1"/>
  <c r="S132" i="1"/>
  <c r="T132" i="1"/>
  <c r="Q133" i="1"/>
  <c r="R133" i="1"/>
  <c r="S133" i="1"/>
  <c r="T133" i="1"/>
  <c r="Q134" i="1"/>
  <c r="R134" i="1"/>
  <c r="S134" i="1"/>
  <c r="T134" i="1"/>
  <c r="Q135" i="1"/>
  <c r="R135" i="1"/>
  <c r="S135" i="1"/>
  <c r="T135" i="1"/>
  <c r="Q136" i="1"/>
  <c r="R136" i="1"/>
  <c r="S136" i="1"/>
  <c r="T136" i="1"/>
  <c r="Q137" i="1"/>
  <c r="R137" i="1"/>
  <c r="S137" i="1"/>
  <c r="T137" i="1"/>
  <c r="Q138" i="1"/>
  <c r="R138" i="1"/>
  <c r="S138" i="1"/>
  <c r="T138" i="1"/>
  <c r="Q139" i="1"/>
  <c r="R139" i="1"/>
  <c r="S139" i="1"/>
  <c r="T139" i="1"/>
  <c r="Q140" i="1"/>
  <c r="R140" i="1"/>
  <c r="S140" i="1"/>
  <c r="T140" i="1"/>
  <c r="Q141" i="1"/>
  <c r="R141" i="1"/>
  <c r="S141" i="1"/>
  <c r="T141" i="1"/>
  <c r="Q142" i="1"/>
  <c r="R142" i="1"/>
  <c r="S142" i="1"/>
  <c r="T142" i="1"/>
  <c r="Q143" i="1"/>
  <c r="R143" i="1"/>
  <c r="S143" i="1"/>
  <c r="T143" i="1"/>
  <c r="Q144" i="1"/>
  <c r="R144" i="1"/>
  <c r="S144" i="1"/>
  <c r="T144" i="1"/>
  <c r="Q145" i="1"/>
  <c r="R145" i="1"/>
  <c r="S145" i="1"/>
  <c r="T145" i="1"/>
  <c r="Q146" i="1"/>
  <c r="R146" i="1"/>
  <c r="S146" i="1"/>
  <c r="T146" i="1"/>
  <c r="Q147" i="1"/>
  <c r="R147" i="1"/>
  <c r="S147" i="1"/>
  <c r="T147" i="1"/>
  <c r="Q148" i="1"/>
  <c r="R148" i="1"/>
  <c r="S148" i="1"/>
  <c r="T148" i="1"/>
  <c r="Q149" i="1"/>
  <c r="R149" i="1"/>
  <c r="S149" i="1"/>
  <c r="T149" i="1"/>
  <c r="Q150" i="1"/>
  <c r="R150" i="1"/>
  <c r="S150" i="1"/>
  <c r="T150" i="1"/>
  <c r="Q151" i="1"/>
  <c r="R151" i="1"/>
  <c r="S151" i="1"/>
  <c r="T151" i="1"/>
  <c r="Q152" i="1"/>
  <c r="R152" i="1"/>
  <c r="S152" i="1"/>
  <c r="T152" i="1"/>
  <c r="Q153" i="1"/>
  <c r="R153" i="1"/>
  <c r="S153" i="1"/>
  <c r="T153" i="1"/>
  <c r="Q154" i="1"/>
  <c r="R154" i="1"/>
  <c r="S154" i="1"/>
  <c r="T154" i="1"/>
  <c r="Q155" i="1"/>
  <c r="R155" i="1"/>
  <c r="S155" i="1"/>
  <c r="T155" i="1"/>
  <c r="Q156" i="1"/>
  <c r="R156" i="1"/>
  <c r="S156" i="1"/>
  <c r="T156" i="1"/>
  <c r="Q157" i="1"/>
  <c r="R157" i="1"/>
  <c r="S157" i="1"/>
  <c r="T157" i="1"/>
  <c r="Q158" i="1"/>
  <c r="R158" i="1"/>
  <c r="S158" i="1"/>
  <c r="T158" i="1"/>
  <c r="Q159" i="1"/>
  <c r="R159" i="1"/>
  <c r="S159" i="1"/>
  <c r="T159" i="1"/>
  <c r="Q160" i="1"/>
  <c r="R160" i="1"/>
  <c r="S160" i="1"/>
  <c r="T160" i="1"/>
  <c r="Q161" i="1"/>
  <c r="R161" i="1"/>
  <c r="S161" i="1"/>
  <c r="T161" i="1"/>
  <c r="Q162" i="1"/>
  <c r="R162" i="1"/>
  <c r="S162" i="1"/>
  <c r="T162" i="1"/>
  <c r="Q163" i="1"/>
  <c r="R163" i="1"/>
  <c r="S163" i="1"/>
  <c r="T163" i="1"/>
  <c r="Q164" i="1"/>
  <c r="R164" i="1"/>
  <c r="S164" i="1"/>
  <c r="T164" i="1"/>
  <c r="Q165" i="1"/>
  <c r="R165" i="1"/>
  <c r="S165" i="1"/>
  <c r="T165" i="1"/>
  <c r="Q166" i="1"/>
  <c r="R166" i="1"/>
  <c r="S166" i="1"/>
  <c r="T166" i="1"/>
  <c r="Q167" i="1"/>
  <c r="R167" i="1"/>
  <c r="S167" i="1"/>
  <c r="T167" i="1"/>
  <c r="Q168" i="1"/>
  <c r="R168" i="1"/>
  <c r="S168" i="1"/>
  <c r="T168" i="1"/>
  <c r="Q169" i="1"/>
  <c r="R169" i="1"/>
  <c r="S169" i="1"/>
  <c r="T169" i="1"/>
  <c r="Q170" i="1"/>
  <c r="R170" i="1"/>
  <c r="S170" i="1"/>
  <c r="T170" i="1"/>
  <c r="Q171" i="1"/>
  <c r="R171" i="1"/>
  <c r="S171" i="1"/>
  <c r="T171" i="1"/>
  <c r="Q172" i="1"/>
  <c r="R172" i="1"/>
  <c r="S172" i="1"/>
  <c r="T172" i="1"/>
  <c r="Q173" i="1"/>
  <c r="R173" i="1"/>
  <c r="S173" i="1"/>
  <c r="T173" i="1"/>
  <c r="Q174" i="1"/>
  <c r="R174" i="1"/>
  <c r="S174" i="1"/>
  <c r="T174" i="1"/>
  <c r="Q175" i="1"/>
  <c r="R175" i="1"/>
  <c r="S175" i="1"/>
  <c r="T175" i="1"/>
  <c r="Q176" i="1"/>
  <c r="R176" i="1"/>
  <c r="S176" i="1"/>
  <c r="T176" i="1"/>
  <c r="Q177" i="1"/>
  <c r="R177" i="1"/>
  <c r="S177" i="1"/>
  <c r="T177" i="1"/>
  <c r="Q178" i="1"/>
  <c r="R178" i="1"/>
  <c r="S178" i="1"/>
  <c r="T178" i="1"/>
  <c r="Q179" i="1"/>
  <c r="R179" i="1"/>
  <c r="S179" i="1"/>
  <c r="T179" i="1"/>
  <c r="Q180" i="1"/>
  <c r="R180" i="1"/>
  <c r="S180" i="1"/>
  <c r="T180" i="1"/>
  <c r="Q181" i="1"/>
  <c r="R181" i="1"/>
  <c r="S181" i="1"/>
  <c r="T181" i="1"/>
  <c r="Q182" i="1"/>
  <c r="R182" i="1"/>
  <c r="S182" i="1"/>
  <c r="T182" i="1"/>
  <c r="Q183" i="1"/>
  <c r="R183" i="1"/>
  <c r="S183" i="1"/>
  <c r="T183" i="1"/>
  <c r="Q184" i="1"/>
  <c r="R184" i="1"/>
  <c r="S184" i="1"/>
  <c r="T184" i="1"/>
  <c r="Q185" i="1"/>
  <c r="R185" i="1"/>
  <c r="S185" i="1"/>
  <c r="T185" i="1"/>
  <c r="Q186" i="1"/>
  <c r="R186" i="1"/>
  <c r="S186" i="1"/>
  <c r="T186" i="1"/>
  <c r="Q187" i="1"/>
  <c r="R187" i="1"/>
  <c r="S187" i="1"/>
  <c r="T187" i="1"/>
  <c r="Q188" i="1"/>
  <c r="R188" i="1"/>
  <c r="S188" i="1"/>
  <c r="T188" i="1"/>
  <c r="Q189" i="1"/>
  <c r="R189" i="1"/>
  <c r="S189" i="1"/>
  <c r="T189" i="1"/>
  <c r="Q190" i="1"/>
  <c r="R190" i="1"/>
  <c r="S190" i="1"/>
  <c r="T190" i="1"/>
  <c r="Q191" i="1"/>
  <c r="R191" i="1"/>
  <c r="S191" i="1"/>
  <c r="T191" i="1"/>
  <c r="Q192" i="1"/>
  <c r="R192" i="1"/>
  <c r="S192" i="1"/>
  <c r="T192" i="1"/>
  <c r="Q193" i="1"/>
  <c r="R193" i="1"/>
  <c r="S193" i="1"/>
  <c r="T193" i="1"/>
  <c r="Q194" i="1"/>
  <c r="R194" i="1"/>
  <c r="S194" i="1"/>
  <c r="T194" i="1"/>
  <c r="Q195" i="1"/>
  <c r="R195" i="1"/>
  <c r="S195" i="1"/>
  <c r="T195" i="1"/>
  <c r="Q196" i="1"/>
  <c r="R196" i="1"/>
  <c r="S196" i="1"/>
  <c r="T196" i="1"/>
  <c r="Q197" i="1"/>
  <c r="R197" i="1"/>
  <c r="S197" i="1"/>
  <c r="T197" i="1"/>
  <c r="Q198" i="1"/>
  <c r="R198" i="1"/>
  <c r="S198" i="1"/>
  <c r="T198" i="1"/>
  <c r="Q199" i="1"/>
  <c r="R199" i="1"/>
  <c r="S199" i="1"/>
  <c r="T199" i="1"/>
  <c r="Q200" i="1"/>
  <c r="R200" i="1"/>
  <c r="S200" i="1"/>
  <c r="T200" i="1"/>
  <c r="Q201" i="1"/>
  <c r="R201" i="1"/>
  <c r="S201" i="1"/>
  <c r="T201" i="1"/>
  <c r="Q202" i="1"/>
  <c r="R202" i="1"/>
  <c r="S202" i="1"/>
  <c r="T202" i="1"/>
  <c r="Q203" i="1"/>
  <c r="R203" i="1"/>
  <c r="S203" i="1"/>
  <c r="T203" i="1"/>
  <c r="Q204" i="1"/>
  <c r="R204" i="1"/>
  <c r="S204" i="1"/>
  <c r="T204" i="1"/>
  <c r="Q205" i="1"/>
  <c r="R205" i="1"/>
  <c r="S205" i="1"/>
  <c r="T205" i="1"/>
  <c r="Q206" i="1"/>
  <c r="R206" i="1"/>
  <c r="S206" i="1"/>
  <c r="T206" i="1"/>
  <c r="Q207" i="1"/>
  <c r="R207" i="1"/>
  <c r="S207" i="1"/>
  <c r="T207" i="1"/>
  <c r="Q208" i="1"/>
  <c r="R208" i="1"/>
  <c r="S208" i="1"/>
  <c r="T208" i="1"/>
  <c r="Q209" i="1"/>
  <c r="R209" i="1"/>
  <c r="S209" i="1"/>
  <c r="T209" i="1"/>
  <c r="Q210" i="1"/>
  <c r="R210" i="1"/>
  <c r="S210" i="1"/>
  <c r="T210" i="1"/>
  <c r="Q211" i="1"/>
  <c r="R211" i="1"/>
  <c r="S211" i="1"/>
  <c r="T211" i="1"/>
  <c r="Q212" i="1"/>
  <c r="R212" i="1"/>
  <c r="S212" i="1"/>
  <c r="T212" i="1"/>
  <c r="Q213" i="1"/>
  <c r="R213" i="1"/>
  <c r="S213" i="1"/>
  <c r="T213" i="1"/>
  <c r="Q214" i="1"/>
  <c r="R214" i="1"/>
  <c r="S214" i="1"/>
  <c r="T214" i="1"/>
  <c r="Q215" i="1"/>
  <c r="R215" i="1"/>
  <c r="S215" i="1"/>
  <c r="T215" i="1"/>
  <c r="Q216" i="1"/>
  <c r="R216" i="1"/>
  <c r="S216" i="1"/>
  <c r="T216" i="1"/>
  <c r="Q217" i="1"/>
  <c r="R217" i="1"/>
  <c r="S217" i="1"/>
  <c r="T217" i="1"/>
  <c r="Q218" i="1"/>
  <c r="R218" i="1"/>
  <c r="S218" i="1"/>
  <c r="T218" i="1"/>
  <c r="Q219" i="1"/>
  <c r="R219" i="1"/>
  <c r="S219" i="1"/>
  <c r="T219" i="1"/>
  <c r="Q220" i="1"/>
  <c r="R220" i="1"/>
  <c r="S220" i="1"/>
  <c r="T220" i="1"/>
  <c r="Q221" i="1"/>
  <c r="R221" i="1"/>
  <c r="S221" i="1"/>
  <c r="T221" i="1"/>
  <c r="Q222" i="1"/>
  <c r="R222" i="1"/>
  <c r="S222" i="1"/>
  <c r="T222" i="1"/>
  <c r="Q223" i="1"/>
  <c r="R223" i="1"/>
  <c r="S223" i="1"/>
  <c r="T223" i="1"/>
  <c r="Q224" i="1"/>
  <c r="R224" i="1"/>
  <c r="S224" i="1"/>
  <c r="T224" i="1"/>
  <c r="Q225" i="1"/>
  <c r="R225" i="1"/>
  <c r="S225" i="1"/>
  <c r="T225" i="1"/>
  <c r="Q226" i="1"/>
  <c r="R226" i="1"/>
  <c r="S226" i="1"/>
  <c r="T226" i="1"/>
  <c r="Q227" i="1"/>
  <c r="R227" i="1"/>
  <c r="S227" i="1"/>
  <c r="T227" i="1"/>
  <c r="Q228" i="1"/>
  <c r="R228" i="1"/>
  <c r="S228" i="1"/>
  <c r="T228" i="1"/>
  <c r="Q229" i="1"/>
  <c r="R229" i="1"/>
  <c r="S229" i="1"/>
  <c r="T229" i="1"/>
  <c r="Q230" i="1"/>
  <c r="R230" i="1"/>
  <c r="S230" i="1"/>
  <c r="T230" i="1"/>
  <c r="Q231" i="1"/>
  <c r="R231" i="1"/>
  <c r="S231" i="1"/>
  <c r="T231" i="1"/>
  <c r="Q232" i="1"/>
  <c r="R232" i="1"/>
  <c r="S232" i="1"/>
  <c r="T232" i="1"/>
  <c r="Q233" i="1"/>
  <c r="R233" i="1"/>
  <c r="S233" i="1"/>
  <c r="T233" i="1"/>
  <c r="Q234" i="1"/>
  <c r="R234" i="1"/>
  <c r="S234" i="1"/>
  <c r="T234" i="1"/>
  <c r="Q235" i="1"/>
  <c r="R235" i="1"/>
  <c r="S235" i="1"/>
  <c r="T235" i="1"/>
  <c r="Q236" i="1"/>
  <c r="R236" i="1"/>
  <c r="S236" i="1"/>
  <c r="T236" i="1"/>
  <c r="Q237" i="1"/>
  <c r="R237" i="1"/>
  <c r="S237" i="1"/>
  <c r="T237" i="1"/>
  <c r="Q238" i="1"/>
  <c r="R238" i="1"/>
  <c r="S238" i="1"/>
  <c r="T238" i="1"/>
  <c r="Q239" i="1"/>
  <c r="R239" i="1"/>
  <c r="S239" i="1"/>
  <c r="T239" i="1"/>
  <c r="Q240" i="1"/>
  <c r="R240" i="1"/>
  <c r="S240" i="1"/>
  <c r="T240" i="1"/>
  <c r="Q241" i="1"/>
  <c r="R241" i="1"/>
  <c r="S241" i="1"/>
  <c r="T241" i="1"/>
  <c r="Q242" i="1"/>
  <c r="R242" i="1"/>
  <c r="S242" i="1"/>
  <c r="T242" i="1"/>
  <c r="Q243" i="1"/>
  <c r="R243" i="1"/>
  <c r="S243" i="1"/>
  <c r="T243" i="1"/>
  <c r="Q244" i="1"/>
  <c r="R244" i="1"/>
  <c r="S244" i="1"/>
  <c r="T244" i="1"/>
  <c r="Q245" i="1"/>
  <c r="R245" i="1"/>
  <c r="S245" i="1"/>
  <c r="T245" i="1"/>
  <c r="Q246" i="1"/>
  <c r="R246" i="1"/>
  <c r="S246" i="1"/>
  <c r="T246" i="1"/>
  <c r="Q247" i="1"/>
  <c r="R247" i="1"/>
  <c r="S247" i="1"/>
  <c r="T247" i="1"/>
  <c r="Q248" i="1"/>
  <c r="R248" i="1"/>
  <c r="S248" i="1"/>
  <c r="T248" i="1"/>
  <c r="Q249" i="1"/>
  <c r="R249" i="1"/>
  <c r="S249" i="1"/>
  <c r="T249" i="1"/>
  <c r="Q250" i="1"/>
  <c r="R250" i="1"/>
  <c r="S250" i="1"/>
  <c r="T250" i="1"/>
  <c r="Q251" i="1"/>
  <c r="R251" i="1"/>
  <c r="S251" i="1"/>
  <c r="T251" i="1"/>
  <c r="Q252" i="1"/>
  <c r="R252" i="1"/>
  <c r="S252" i="1"/>
  <c r="T252" i="1"/>
  <c r="Q253" i="1"/>
  <c r="R253" i="1"/>
  <c r="S253" i="1"/>
  <c r="T253" i="1"/>
  <c r="Q254" i="1"/>
  <c r="R254" i="1"/>
  <c r="S254" i="1"/>
  <c r="T254" i="1"/>
  <c r="Q255" i="1"/>
  <c r="R255" i="1"/>
  <c r="S255" i="1"/>
  <c r="T255" i="1"/>
  <c r="Q256" i="1"/>
  <c r="R256" i="1"/>
  <c r="S256" i="1"/>
  <c r="T256" i="1"/>
  <c r="Q257" i="1"/>
  <c r="R257" i="1"/>
  <c r="S257" i="1"/>
  <c r="T257" i="1"/>
  <c r="Q258" i="1"/>
  <c r="R258" i="1"/>
  <c r="S258" i="1"/>
  <c r="T258" i="1"/>
  <c r="Q259" i="1"/>
  <c r="R259" i="1"/>
  <c r="S259" i="1"/>
  <c r="T259" i="1"/>
  <c r="Q260" i="1"/>
  <c r="R260" i="1"/>
  <c r="S260" i="1"/>
  <c r="T260" i="1"/>
  <c r="Q261" i="1"/>
  <c r="R261" i="1"/>
  <c r="S261" i="1"/>
  <c r="T261" i="1"/>
  <c r="Q262" i="1"/>
  <c r="R262" i="1"/>
  <c r="S262" i="1"/>
  <c r="T262" i="1"/>
  <c r="Q263" i="1"/>
  <c r="R263" i="1"/>
  <c r="S263" i="1"/>
  <c r="T263" i="1"/>
  <c r="Q264" i="1"/>
  <c r="R264" i="1"/>
  <c r="S264" i="1"/>
  <c r="T264" i="1"/>
  <c r="Q265" i="1"/>
  <c r="R265" i="1"/>
  <c r="S265" i="1"/>
  <c r="T265" i="1"/>
  <c r="Q266" i="1"/>
  <c r="R266" i="1"/>
  <c r="S266" i="1"/>
  <c r="T266" i="1"/>
  <c r="Q267" i="1"/>
  <c r="R267" i="1"/>
  <c r="S267" i="1"/>
  <c r="T267" i="1"/>
  <c r="Q268" i="1"/>
  <c r="R268" i="1"/>
  <c r="S268" i="1"/>
  <c r="T268" i="1"/>
  <c r="Q269" i="1"/>
  <c r="R269" i="1"/>
  <c r="S269" i="1"/>
  <c r="T269" i="1"/>
  <c r="Q270" i="1"/>
  <c r="R270" i="1"/>
  <c r="S270" i="1"/>
  <c r="T270" i="1"/>
  <c r="Q271" i="1"/>
  <c r="R271" i="1"/>
  <c r="S271" i="1"/>
  <c r="T271" i="1"/>
  <c r="Q272" i="1"/>
  <c r="R272" i="1"/>
  <c r="S272" i="1"/>
  <c r="T272" i="1"/>
  <c r="Q273" i="1"/>
  <c r="R273" i="1"/>
  <c r="S273" i="1"/>
  <c r="T273" i="1"/>
  <c r="Q274" i="1"/>
  <c r="R274" i="1"/>
  <c r="S274" i="1"/>
  <c r="T274" i="1"/>
  <c r="Q275" i="1"/>
  <c r="R275" i="1"/>
  <c r="S275" i="1"/>
  <c r="T275" i="1"/>
  <c r="Q276" i="1"/>
  <c r="R276" i="1"/>
  <c r="S276" i="1"/>
  <c r="T276" i="1"/>
  <c r="Q277" i="1"/>
  <c r="R277" i="1"/>
  <c r="S277" i="1"/>
  <c r="T277" i="1"/>
  <c r="Q278" i="1"/>
  <c r="R278" i="1"/>
  <c r="S278" i="1"/>
  <c r="T278" i="1"/>
  <c r="Q279" i="1"/>
  <c r="R279" i="1"/>
  <c r="S279" i="1"/>
  <c r="T279" i="1"/>
  <c r="Q280" i="1"/>
  <c r="R280" i="1"/>
  <c r="S280" i="1"/>
  <c r="T280" i="1"/>
  <c r="Q281" i="1"/>
  <c r="R281" i="1"/>
  <c r="S281" i="1"/>
  <c r="T281" i="1"/>
  <c r="Q282" i="1"/>
  <c r="R282" i="1"/>
  <c r="S282" i="1"/>
  <c r="T282" i="1"/>
  <c r="Q283" i="1"/>
  <c r="R283" i="1"/>
  <c r="S283" i="1"/>
  <c r="T283" i="1"/>
  <c r="Q284" i="1"/>
  <c r="R284" i="1"/>
  <c r="S284" i="1"/>
  <c r="T284" i="1"/>
  <c r="Q285" i="1"/>
  <c r="R285" i="1"/>
  <c r="S285" i="1"/>
  <c r="T285" i="1"/>
  <c r="Q286" i="1"/>
  <c r="R286" i="1"/>
  <c r="S286" i="1"/>
  <c r="T286" i="1"/>
  <c r="Q287" i="1"/>
  <c r="R287" i="1"/>
  <c r="S287" i="1"/>
  <c r="T287" i="1"/>
  <c r="Q288" i="1"/>
  <c r="R288" i="1"/>
  <c r="S288" i="1"/>
  <c r="T288" i="1"/>
  <c r="Q289" i="1"/>
  <c r="R289" i="1"/>
  <c r="S289" i="1"/>
  <c r="T289" i="1"/>
  <c r="Q290" i="1"/>
  <c r="R290" i="1"/>
  <c r="S290" i="1"/>
  <c r="T290" i="1"/>
  <c r="Q291" i="1"/>
  <c r="R291" i="1"/>
  <c r="S291" i="1"/>
  <c r="T291" i="1"/>
  <c r="Q292" i="1"/>
  <c r="R292" i="1"/>
  <c r="S292" i="1"/>
  <c r="T292" i="1"/>
  <c r="Q293" i="1"/>
  <c r="R293" i="1"/>
  <c r="S293" i="1"/>
  <c r="T293" i="1"/>
  <c r="Q294" i="1"/>
  <c r="R294" i="1"/>
  <c r="S294" i="1"/>
  <c r="T294" i="1"/>
  <c r="Q295" i="1"/>
  <c r="R295" i="1"/>
  <c r="S295" i="1"/>
  <c r="T295" i="1"/>
  <c r="Q296" i="1"/>
  <c r="R296" i="1"/>
  <c r="S296" i="1"/>
  <c r="T296" i="1"/>
  <c r="Q297" i="1"/>
  <c r="R297" i="1"/>
  <c r="S297" i="1"/>
  <c r="T297" i="1"/>
  <c r="Q3" i="1"/>
  <c r="R3" i="1"/>
  <c r="S3" i="1"/>
  <c r="T3" i="1"/>
  <c r="T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300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F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</calcChain>
</file>

<file path=xl/sharedStrings.xml><?xml version="1.0" encoding="utf-8"?>
<sst xmlns="http://schemas.openxmlformats.org/spreadsheetml/2006/main" count="309" uniqueCount="262">
  <si>
    <r>
      <t xml:space="preserve">Φ </t>
    </r>
    <r>
      <rPr>
        <b/>
        <sz val="18"/>
        <color theme="1"/>
        <rFont val="Arial"/>
      </rPr>
      <t>(Gly76)</t>
    </r>
  </si>
  <si>
    <r>
      <t>ψ</t>
    </r>
    <r>
      <rPr>
        <b/>
        <sz val="18"/>
        <color theme="1"/>
        <rFont val="Arial"/>
      </rPr>
      <t xml:space="preserve"> (Gly76)</t>
    </r>
  </si>
  <si>
    <r>
      <t>Deviation from sp</t>
    </r>
    <r>
      <rPr>
        <b/>
        <vertAlign val="superscript"/>
        <sz val="18"/>
        <color theme="1"/>
        <rFont val="Arial"/>
      </rPr>
      <t>2</t>
    </r>
    <r>
      <rPr>
        <b/>
        <sz val="18"/>
        <color theme="1"/>
        <rFont val="Arial"/>
      </rPr>
      <t xml:space="preserve"> (°)</t>
    </r>
  </si>
  <si>
    <t>N-C=O (°) NAO</t>
  </si>
  <si>
    <t>Cα-C'-N (°) CAN</t>
  </si>
  <si>
    <t>Cα-C=O (°) CAO</t>
  </si>
  <si>
    <t>-179.721</t>
  </si>
  <si>
    <t>-178.172</t>
  </si>
  <si>
    <t>-177.786</t>
  </si>
  <si>
    <t>-177.448</t>
  </si>
  <si>
    <t>-177.779</t>
  </si>
  <si>
    <t>-2.51</t>
  </si>
  <si>
    <t>-0.288</t>
  </si>
  <si>
    <t>-2.812</t>
  </si>
  <si>
    <t>-2.18</t>
  </si>
  <si>
    <t>-2.246</t>
  </si>
  <si>
    <t>-0.487</t>
  </si>
  <si>
    <t>-179.638</t>
  </si>
  <si>
    <t>-0.165</t>
  </si>
  <si>
    <t>-178.452</t>
  </si>
  <si>
    <t>-177.353</t>
  </si>
  <si>
    <t>-176.414</t>
  </si>
  <si>
    <t>-178.364</t>
  </si>
  <si>
    <t>-178.5</t>
  </si>
  <si>
    <t>-179.986</t>
  </si>
  <si>
    <t>-178.611</t>
  </si>
  <si>
    <t>-176.289</t>
  </si>
  <si>
    <t>-176.226</t>
  </si>
  <si>
    <t>-178.583</t>
  </si>
  <si>
    <t>-178.629</t>
  </si>
  <si>
    <t>-1.231</t>
  </si>
  <si>
    <t>-179.732</t>
  </si>
  <si>
    <t>-1.643</t>
  </si>
  <si>
    <t>-1.076</t>
  </si>
  <si>
    <t>-0.712</t>
  </si>
  <si>
    <t>-179.678</t>
  </si>
  <si>
    <t>-178.348</t>
  </si>
  <si>
    <t>-176.335</t>
  </si>
  <si>
    <t>-175.093</t>
  </si>
  <si>
    <t>-174.464</t>
  </si>
  <si>
    <t>-174.841</t>
  </si>
  <si>
    <t>-175.790</t>
  </si>
  <si>
    <t>ω1 - ω3</t>
  </si>
  <si>
    <t>-178.980</t>
  </si>
  <si>
    <t>-1.209</t>
  </si>
  <si>
    <t>-2.473</t>
  </si>
  <si>
    <t>-2.178</t>
  </si>
  <si>
    <t>-1.849</t>
  </si>
  <si>
    <t>-176.162</t>
  </si>
  <si>
    <t>-179.468</t>
  </si>
  <si>
    <t>-0.666</t>
  </si>
  <si>
    <t>-177.585</t>
  </si>
  <si>
    <t>-175.250</t>
  </si>
  <si>
    <t>-176.093</t>
  </si>
  <si>
    <t>-176.669</t>
  </si>
  <si>
    <t>-178.177</t>
  </si>
  <si>
    <t>-0.389</t>
  </si>
  <si>
    <t>-179.864</t>
  </si>
  <si>
    <t>-1.806</t>
  </si>
  <si>
    <t>-178.694</t>
  </si>
  <si>
    <t>-2.396</t>
  </si>
  <si>
    <t>-178.371</t>
  </si>
  <si>
    <t>-2.597</t>
  </si>
  <si>
    <t>-177.093</t>
  </si>
  <si>
    <t>-1.641</t>
  </si>
  <si>
    <t>-176.177</t>
  </si>
  <si>
    <t>-178.401</t>
  </si>
  <si>
    <t>-179.780</t>
  </si>
  <si>
    <t>-178.693</t>
  </si>
  <si>
    <t>-176.942</t>
  </si>
  <si>
    <t>-175.280</t>
  </si>
  <si>
    <t>-174.732</t>
  </si>
  <si>
    <t>-174.703</t>
  </si>
  <si>
    <t>-175.853</t>
  </si>
  <si>
    <t>-177.231</t>
  </si>
  <si>
    <t>-179.151</t>
  </si>
  <si>
    <t>-176.659</t>
  </si>
  <si>
    <t>-174.837</t>
  </si>
  <si>
    <t>-175.158</t>
  </si>
  <si>
    <t>-175.244</t>
  </si>
  <si>
    <t>-176.130</t>
  </si>
  <si>
    <t>-177.570</t>
  </si>
  <si>
    <t>-179.528</t>
  </si>
  <si>
    <t>-0.38</t>
  </si>
  <si>
    <t>-179.368</t>
  </si>
  <si>
    <t>-178.123</t>
  </si>
  <si>
    <t>-177.151</t>
  </si>
  <si>
    <t>-176.161</t>
  </si>
  <si>
    <t>-176.503</t>
  </si>
  <si>
    <t>-177.297</t>
  </si>
  <si>
    <t>-178.796</t>
  </si>
  <si>
    <t>-1.653</t>
  </si>
  <si>
    <t>-1.924</t>
  </si>
  <si>
    <t>-1.603</t>
  </si>
  <si>
    <t>-0.232</t>
  </si>
  <si>
    <t>-179.467</t>
  </si>
  <si>
    <t>-177.409</t>
  </si>
  <si>
    <t>-176.770</t>
  </si>
  <si>
    <t>-177.064</t>
  </si>
  <si>
    <t>-177.097</t>
  </si>
  <si>
    <t>-0.498</t>
  </si>
  <si>
    <t>-1.892</t>
  </si>
  <si>
    <t>-178.577</t>
  </si>
  <si>
    <t>-2.786</t>
  </si>
  <si>
    <t>-1.914</t>
  </si>
  <si>
    <t>-1.416</t>
  </si>
  <si>
    <t>-0.785</t>
  </si>
  <si>
    <t>-179.976</t>
  </si>
  <si>
    <t>-176.232</t>
  </si>
  <si>
    <t>-175.693</t>
  </si>
  <si>
    <t>-174.871</t>
  </si>
  <si>
    <t>-173.752</t>
  </si>
  <si>
    <t>-175.073</t>
  </si>
  <si>
    <t>-177.575</t>
  </si>
  <si>
    <t>-179.053</t>
  </si>
  <si>
    <t>-179.560</t>
  </si>
  <si>
    <t>-178.972</t>
  </si>
  <si>
    <t>-1.003</t>
  </si>
  <si>
    <t>-178.545</t>
  </si>
  <si>
    <t>-2.06</t>
  </si>
  <si>
    <t>-176.918</t>
  </si>
  <si>
    <t>-1.737</t>
  </si>
  <si>
    <t>-177.602</t>
  </si>
  <si>
    <t>-1.422</t>
  </si>
  <si>
    <t>-178.887</t>
  </si>
  <si>
    <t>-1.662</t>
  </si>
  <si>
    <t>-179.994</t>
  </si>
  <si>
    <t>-179.207</t>
  </si>
  <si>
    <t>-177.467</t>
  </si>
  <si>
    <t>-176.626</t>
  </si>
  <si>
    <t>-175.827</t>
  </si>
  <si>
    <t>-174.811</t>
  </si>
  <si>
    <t>-175.675</t>
  </si>
  <si>
    <t>-176.936</t>
  </si>
  <si>
    <t>-0.49</t>
  </si>
  <si>
    <t>-1.079</t>
  </si>
  <si>
    <t>-1.578</t>
  </si>
  <si>
    <t>-1.262</t>
  </si>
  <si>
    <t>-1.165</t>
  </si>
  <si>
    <t>-0.229</t>
  </si>
  <si>
    <r>
      <t>χ</t>
    </r>
    <r>
      <rPr>
        <b/>
        <vertAlign val="subscript"/>
        <sz val="18"/>
        <color theme="1"/>
        <rFont val="Arial"/>
      </rPr>
      <t xml:space="preserve">C </t>
    </r>
    <r>
      <rPr>
        <b/>
        <sz val="18"/>
        <color theme="1"/>
        <rFont val="Arial"/>
      </rPr>
      <t>- χ</t>
    </r>
    <r>
      <rPr>
        <b/>
        <vertAlign val="subscript"/>
        <sz val="18"/>
        <color theme="1"/>
        <rFont val="Arial"/>
      </rPr>
      <t>C</t>
    </r>
    <r>
      <rPr>
        <b/>
        <sz val="18"/>
        <color theme="1"/>
        <rFont val="Arial"/>
      </rPr>
      <t xml:space="preserve"> (mean)</t>
    </r>
  </si>
  <si>
    <t>-178.015</t>
  </si>
  <si>
    <t>-176.156</t>
  </si>
  <si>
    <t>-179.875</t>
  </si>
  <si>
    <t>-174.831</t>
  </si>
  <si>
    <t>-174.634</t>
  </si>
  <si>
    <t>-174.895</t>
  </si>
  <si>
    <t>-174.937</t>
  </si>
  <si>
    <t>-176.157</t>
  </si>
  <si>
    <t>-177.094</t>
  </si>
  <si>
    <t>-178.428</t>
  </si>
  <si>
    <t>-179.741</t>
  </si>
  <si>
    <t>-2.109</t>
  </si>
  <si>
    <t>-3.557</t>
  </si>
  <si>
    <t>-4.495</t>
  </si>
  <si>
    <t>-179.379</t>
  </si>
  <si>
    <t>-4.094</t>
  </si>
  <si>
    <t>-178.555</t>
  </si>
  <si>
    <t>-3.077</t>
  </si>
  <si>
    <t>-177.461</t>
  </si>
  <si>
    <t>-177.107</t>
  </si>
  <si>
    <t>-177.511</t>
  </si>
  <si>
    <t>-179.209</t>
  </si>
  <si>
    <t>-0.718</t>
  </si>
  <si>
    <t>-1.844</t>
  </si>
  <si>
    <t>-0.651</t>
  </si>
  <si>
    <t>-178.997</t>
  </si>
  <si>
    <t>-178.037</t>
  </si>
  <si>
    <t>-177.514</t>
  </si>
  <si>
    <t>-178.797</t>
  </si>
  <si>
    <t>-0.592</t>
  </si>
  <si>
    <t>-1.357</t>
  </si>
  <si>
    <t>-0.31</t>
  </si>
  <si>
    <t>-176.240</t>
  </si>
  <si>
    <t>-2.383</t>
  </si>
  <si>
    <t>-4.149</t>
  </si>
  <si>
    <t>-178.020</t>
  </si>
  <si>
    <t>-0.228</t>
  </si>
  <si>
    <t>-3.867</t>
  </si>
  <si>
    <t>-3.095</t>
  </si>
  <si>
    <t>-1.595</t>
  </si>
  <si>
    <t>-0.131</t>
  </si>
  <si>
    <t>-179.784</t>
  </si>
  <si>
    <t>-178.272</t>
  </si>
  <si>
    <t>-178.184</t>
  </si>
  <si>
    <t>-178.076</t>
  </si>
  <si>
    <t>-177.233</t>
  </si>
  <si>
    <t>-178.981</t>
  </si>
  <si>
    <t>-179.551</t>
  </si>
  <si>
    <t>-177.992</t>
  </si>
  <si>
    <t>-177.626</t>
  </si>
  <si>
    <t>-177.471</t>
  </si>
  <si>
    <t>-176.910</t>
  </si>
  <si>
    <t>-177.072</t>
  </si>
  <si>
    <t>-0.056</t>
  </si>
  <si>
    <t>-178.4</t>
  </si>
  <si>
    <t>-1.622</t>
  </si>
  <si>
    <t>-179.521</t>
  </si>
  <si>
    <t>-2.77</t>
  </si>
  <si>
    <t>-3.509</t>
  </si>
  <si>
    <t>-3.669</t>
  </si>
  <si>
    <t>-2.063</t>
  </si>
  <si>
    <t>-179.652</t>
  </si>
  <si>
    <t>-177.979</t>
  </si>
  <si>
    <t>-176.243</t>
  </si>
  <si>
    <t>-173.568</t>
  </si>
  <si>
    <t>-173.898</t>
  </si>
  <si>
    <t>-174.259</t>
  </si>
  <si>
    <t>-179.201</t>
  </si>
  <si>
    <t>-176.027</t>
  </si>
  <si>
    <t>-174.362</t>
  </si>
  <si>
    <t>-174.069</t>
  </si>
  <si>
    <t>-174.524</t>
  </si>
  <si>
    <t>-176.595</t>
  </si>
  <si>
    <t>-177.974</t>
  </si>
  <si>
    <t>-179.680</t>
  </si>
  <si>
    <t>-0.169</t>
  </si>
  <si>
    <t>-0.644</t>
  </si>
  <si>
    <t>-0.472</t>
  </si>
  <si>
    <t>-179.805</t>
  </si>
  <si>
    <t>-1.406</t>
  </si>
  <si>
    <t>-178.505</t>
  </si>
  <si>
    <t>-1.264</t>
  </si>
  <si>
    <t>-177.184</t>
  </si>
  <si>
    <t>-0.582</t>
  </si>
  <si>
    <t>-177.219</t>
  </si>
  <si>
    <t>-0.145</t>
  </si>
  <si>
    <t>-177.601</t>
  </si>
  <si>
    <t>-177.630</t>
  </si>
  <si>
    <t>-179.290</t>
  </si>
  <si>
    <t>-179.959</t>
  </si>
  <si>
    <t>-178.696</t>
  </si>
  <si>
    <t>-176.593</t>
  </si>
  <si>
    <t>-176.410</t>
  </si>
  <si>
    <t>-177.134</t>
  </si>
  <si>
    <t>-178.769</t>
  </si>
  <si>
    <t>-0.236</t>
  </si>
  <si>
    <t>-178.863</t>
  </si>
  <si>
    <t>-0.011</t>
  </si>
  <si>
    <t>-1.128</t>
  </si>
  <si>
    <t>-1.379</t>
  </si>
  <si>
    <t>-1.434</t>
  </si>
  <si>
    <t>-0.857</t>
  </si>
  <si>
    <t>ω1 - ω3 + 180</t>
  </si>
  <si>
    <t>MOD(Pn,360)</t>
  </si>
  <si>
    <r>
      <t>Mean χ</t>
    </r>
    <r>
      <rPr>
        <b/>
        <vertAlign val="subscript"/>
        <sz val="16"/>
        <color theme="1"/>
        <rFont val="Arial"/>
      </rPr>
      <t>C</t>
    </r>
    <r>
      <rPr>
        <b/>
        <sz val="16"/>
        <color theme="1"/>
        <rFont val="Arial"/>
      </rPr>
      <t xml:space="preserve"> </t>
    </r>
  </si>
  <si>
    <t>Out-of-plane deformations of geometry optimized structures</t>
  </si>
  <si>
    <t>-13.125</t>
  </si>
  <si>
    <t>Mean</t>
  </si>
  <si>
    <t>Std Dev.</t>
  </si>
  <si>
    <r>
      <t>ω</t>
    </r>
    <r>
      <rPr>
        <b/>
        <vertAlign val="subscript"/>
        <sz val="18"/>
        <color theme="1"/>
        <rFont val="Arial"/>
      </rPr>
      <t>1</t>
    </r>
    <r>
      <rPr>
        <b/>
        <sz val="18"/>
        <color theme="1"/>
        <rFont val="Arial"/>
      </rPr>
      <t xml:space="preserve"> Cα'-</t>
    </r>
    <r>
      <rPr>
        <b/>
        <sz val="18"/>
        <color rgb="FFFF0000"/>
        <rFont val="Arial"/>
      </rPr>
      <t>N-C'</t>
    </r>
    <r>
      <rPr>
        <b/>
        <sz val="18"/>
        <color theme="1"/>
        <rFont val="Arial"/>
      </rPr>
      <t>=O (°)</t>
    </r>
  </si>
  <si>
    <r>
      <t>ω</t>
    </r>
    <r>
      <rPr>
        <b/>
        <vertAlign val="subscript"/>
        <sz val="18"/>
        <color theme="1"/>
        <rFont val="Arial"/>
      </rPr>
      <t>2</t>
    </r>
    <r>
      <rPr>
        <b/>
        <sz val="18"/>
        <color theme="1"/>
        <rFont val="Arial"/>
      </rPr>
      <t xml:space="preserve"> H-</t>
    </r>
    <r>
      <rPr>
        <b/>
        <sz val="18"/>
        <color rgb="FFFF0000"/>
        <rFont val="Arial"/>
      </rPr>
      <t>N-C'</t>
    </r>
    <r>
      <rPr>
        <b/>
        <sz val="18"/>
        <color theme="1"/>
        <rFont val="Arial"/>
      </rPr>
      <t>-Cα (°)</t>
    </r>
  </si>
  <si>
    <r>
      <t>ω</t>
    </r>
    <r>
      <rPr>
        <b/>
        <vertAlign val="subscript"/>
        <sz val="18"/>
        <color theme="1"/>
        <rFont val="Arial"/>
      </rPr>
      <t>3</t>
    </r>
    <r>
      <rPr>
        <b/>
        <sz val="18"/>
        <color theme="1"/>
        <rFont val="Arial"/>
      </rPr>
      <t xml:space="preserve"> Cα-</t>
    </r>
    <r>
      <rPr>
        <b/>
        <sz val="18"/>
        <color rgb="FFFF0000"/>
        <rFont val="Arial"/>
      </rPr>
      <t>C'-N</t>
    </r>
    <r>
      <rPr>
        <b/>
        <sz val="18"/>
        <color theme="1"/>
        <rFont val="Arial"/>
      </rPr>
      <t>-Cα' (°)</t>
    </r>
  </si>
  <si>
    <r>
      <t>ω</t>
    </r>
    <r>
      <rPr>
        <b/>
        <vertAlign val="subscript"/>
        <sz val="18"/>
        <color theme="1"/>
        <rFont val="Arial"/>
      </rPr>
      <t>4</t>
    </r>
    <r>
      <rPr>
        <b/>
        <sz val="18"/>
        <color theme="1"/>
        <rFont val="Arial"/>
      </rPr>
      <t xml:space="preserve"> H-</t>
    </r>
    <r>
      <rPr>
        <b/>
        <sz val="18"/>
        <color rgb="FFFF0000"/>
        <rFont val="Arial"/>
      </rPr>
      <t>N-C'</t>
    </r>
    <r>
      <rPr>
        <b/>
        <sz val="18"/>
        <color theme="1"/>
        <rFont val="Arial"/>
      </rPr>
      <t>=O (°)</t>
    </r>
  </si>
  <si>
    <t>ω2 - ω3</t>
  </si>
  <si>
    <t>ω2 - ω3 + 180</t>
  </si>
  <si>
    <r>
      <t>χ</t>
    </r>
    <r>
      <rPr>
        <b/>
        <vertAlign val="subscript"/>
        <sz val="18"/>
        <color theme="1"/>
        <rFont val="Arial"/>
      </rPr>
      <t>N</t>
    </r>
  </si>
  <si>
    <r>
      <t>χ</t>
    </r>
    <r>
      <rPr>
        <b/>
        <vertAlign val="subscript"/>
        <sz val="18"/>
        <color theme="1"/>
        <rFont val="Arial"/>
      </rPr>
      <t xml:space="preserve">N </t>
    </r>
    <r>
      <rPr>
        <b/>
        <sz val="18"/>
        <color theme="1"/>
        <rFont val="Arial"/>
      </rPr>
      <t>- χ</t>
    </r>
    <r>
      <rPr>
        <b/>
        <vertAlign val="subscript"/>
        <sz val="18"/>
        <color theme="1"/>
        <rFont val="Arial"/>
      </rPr>
      <t>N</t>
    </r>
    <r>
      <rPr>
        <b/>
        <sz val="18"/>
        <color theme="1"/>
        <rFont val="Arial"/>
      </rPr>
      <t xml:space="preserve"> (mean)</t>
    </r>
  </si>
  <si>
    <r>
      <t>Mean χ</t>
    </r>
    <r>
      <rPr>
        <b/>
        <vertAlign val="subscript"/>
        <sz val="16"/>
        <color theme="1"/>
        <rFont val="Arial"/>
      </rPr>
      <t>N</t>
    </r>
    <r>
      <rPr>
        <b/>
        <sz val="16"/>
        <color theme="1"/>
        <rFont val="Arial"/>
      </rPr>
      <t xml:space="preserve"> </t>
    </r>
  </si>
  <si>
    <t>τ</t>
  </si>
  <si>
    <r>
      <rPr>
        <b/>
        <i/>
        <sz val="18"/>
        <color theme="1"/>
        <rFont val="Arial"/>
      </rPr>
      <t>χ</t>
    </r>
    <r>
      <rPr>
        <b/>
        <vertAlign val="subscript"/>
        <sz val="18"/>
        <color theme="1"/>
        <rFont val="Arial"/>
      </rPr>
      <t>C</t>
    </r>
  </si>
  <si>
    <r>
      <rPr>
        <b/>
        <i/>
        <sz val="18"/>
        <color theme="1"/>
        <rFont val="Arial"/>
      </rPr>
      <t>d</t>
    </r>
    <r>
      <rPr>
        <b/>
        <vertAlign val="subscript"/>
        <sz val="18"/>
        <color theme="1"/>
        <rFont val="Arial"/>
      </rPr>
      <t>C–N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</si>
</sst>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4"/>
      <color theme="1"/>
      <name val="Arial"/>
      <family val="2"/>
    </font>
    <font>
      <sz val="18"/>
      <color theme="1"/>
      <name val="Arial"/>
    </font>
    <font>
      <sz val="16"/>
      <color theme="1"/>
      <name val="Arial"/>
    </font>
    <font>
      <b/>
      <sz val="18"/>
      <color theme="1"/>
      <name val="Arial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b/>
      <i/>
      <sz val="18"/>
      <color theme="1"/>
      <name val="Arial"/>
    </font>
    <font>
      <b/>
      <vertAlign val="subscript"/>
      <sz val="18"/>
      <color theme="1"/>
      <name val="Arial"/>
    </font>
    <font>
      <b/>
      <vertAlign val="superscript"/>
      <sz val="18"/>
      <color theme="1"/>
      <name val="Arial"/>
    </font>
    <font>
      <b/>
      <sz val="18"/>
      <color rgb="FFFF0000"/>
      <name val="Arial"/>
    </font>
    <font>
      <sz val="16"/>
      <name val="Arial"/>
    </font>
    <font>
      <b/>
      <sz val="16"/>
      <color theme="1"/>
      <name val="Arial"/>
    </font>
    <font>
      <b/>
      <vertAlign val="subscript"/>
      <sz val="16"/>
      <color theme="1"/>
      <name val="Arial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325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3" borderId="0" xfId="0" applyFont="1" applyFill="1"/>
    <xf numFmtId="0" fontId="10" fillId="0" borderId="0" xfId="0" applyFont="1"/>
    <xf numFmtId="0" fontId="2" fillId="0" borderId="0" xfId="0" applyFont="1" applyBorder="1"/>
    <xf numFmtId="0" fontId="10" fillId="0" borderId="0" xfId="0" applyFont="1" applyBorder="1"/>
    <xf numFmtId="0" fontId="10" fillId="0" borderId="0" xfId="0" quotePrefix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quotePrefix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Border="1"/>
    <xf numFmtId="0" fontId="10" fillId="0" borderId="1" xfId="0" applyFont="1" applyBorder="1"/>
    <xf numFmtId="0" fontId="10" fillId="0" borderId="1" xfId="0" quotePrefix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2" fillId="0" borderId="0" xfId="0" quotePrefix="1" applyFont="1" applyBorder="1"/>
    <xf numFmtId="0" fontId="2" fillId="3" borderId="0" xfId="0" applyFont="1" applyFill="1" applyBorder="1"/>
    <xf numFmtId="0" fontId="2" fillId="3" borderId="2" xfId="0" applyFont="1" applyFill="1" applyBorder="1"/>
    <xf numFmtId="0" fontId="10" fillId="0" borderId="2" xfId="0" applyFont="1" applyBorder="1"/>
    <xf numFmtId="0" fontId="10" fillId="0" borderId="3" xfId="0" applyFont="1" applyBorder="1"/>
    <xf numFmtId="0" fontId="2" fillId="0" borderId="2" xfId="0" applyFont="1" applyBorder="1"/>
    <xf numFmtId="0" fontId="11" fillId="0" borderId="2" xfId="0" applyFont="1" applyBorder="1"/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2" fillId="0" borderId="2" xfId="0" quotePrefix="1" applyFont="1" applyBorder="1"/>
    <xf numFmtId="0" fontId="0" fillId="0" borderId="2" xfId="0" applyBorder="1"/>
    <xf numFmtId="0" fontId="10" fillId="2" borderId="2" xfId="0" applyFont="1" applyFill="1" applyBorder="1"/>
    <xf numFmtId="0" fontId="10" fillId="2" borderId="3" xfId="0" applyFont="1" applyFill="1" applyBorder="1"/>
    <xf numFmtId="0" fontId="10" fillId="2" borderId="0" xfId="0" applyFont="1" applyFill="1"/>
    <xf numFmtId="0" fontId="10" fillId="2" borderId="1" xfId="0" applyFont="1" applyFill="1" applyBorder="1"/>
    <xf numFmtId="0" fontId="2" fillId="3" borderId="4" xfId="0" applyFont="1" applyFill="1" applyBorder="1"/>
    <xf numFmtId="0" fontId="10" fillId="2" borderId="4" xfId="0" applyFont="1" applyFill="1" applyBorder="1"/>
    <xf numFmtId="0" fontId="10" fillId="2" borderId="5" xfId="0" applyFont="1" applyFill="1" applyBorder="1"/>
    <xf numFmtId="0" fontId="11" fillId="0" borderId="4" xfId="0" applyFont="1" applyBorder="1"/>
    <xf numFmtId="0" fontId="2" fillId="0" borderId="4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</cellXfs>
  <cellStyles count="32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1"/>
  <sheetViews>
    <sheetView tabSelected="1" topLeftCell="J1" workbookViewId="0">
      <pane xSplit="5140" ySplit="2440" topLeftCell="F294" activePane="bottomRight"/>
      <selection activeCell="J297" sqref="J297"/>
      <selection pane="topRight" activeCell="G1" sqref="G1"/>
      <selection pane="bottomLeft" activeCell="A3" sqref="A3"/>
      <selection pane="bottomRight" activeCell="J306" sqref="J306"/>
    </sheetView>
  </sheetViews>
  <sheetFormatPr baseColWidth="10" defaultRowHeight="18" x14ac:dyDescent="0"/>
  <cols>
    <col min="1" max="1" width="17.625" style="1" customWidth="1"/>
    <col min="2" max="2" width="10.75" style="19" bestFit="1" customWidth="1"/>
    <col min="3" max="3" width="12.5" style="4" customWidth="1"/>
    <col min="4" max="4" width="12.625" style="1" customWidth="1"/>
    <col min="5" max="5" width="13.125" customWidth="1"/>
    <col min="6" max="6" width="14.25" style="19" customWidth="1"/>
    <col min="7" max="7" width="14.25" style="33" customWidth="1"/>
    <col min="8" max="9" width="17.75" style="1" customWidth="1"/>
    <col min="10" max="10" width="18" style="1" customWidth="1"/>
    <col min="11" max="11" width="16.5" style="19" customWidth="1"/>
    <col min="12" max="12" width="14.5" style="1" customWidth="1"/>
    <col min="13" max="14" width="19.125" style="1" customWidth="1"/>
    <col min="15" max="15" width="10.75" style="1" customWidth="1"/>
    <col min="16" max="16" width="16" style="24" customWidth="1"/>
    <col min="17" max="17" width="10.625" style="1"/>
    <col min="18" max="18" width="18.5" style="1" customWidth="1"/>
    <col min="19" max="19" width="17.875" style="1" customWidth="1"/>
    <col min="20" max="20" width="10.625" style="1"/>
    <col min="21" max="21" width="18.125" style="19" customWidth="1"/>
    <col min="22" max="16384" width="10.625" style="1"/>
  </cols>
  <sheetData>
    <row r="1" spans="1:22" s="2" customFormat="1" ht="64" customHeight="1">
      <c r="A1" s="40" t="s">
        <v>246</v>
      </c>
      <c r="B1" s="16"/>
      <c r="C1" s="15"/>
      <c r="F1" s="16"/>
      <c r="G1" s="29"/>
      <c r="K1" s="16"/>
      <c r="P1" s="16"/>
      <c r="U1" s="16"/>
    </row>
    <row r="2" spans="1:22" s="39" customFormat="1" ht="45" thickBot="1">
      <c r="A2" s="34" t="s">
        <v>0</v>
      </c>
      <c r="B2" s="35" t="s">
        <v>1</v>
      </c>
      <c r="C2" s="36" t="s">
        <v>5</v>
      </c>
      <c r="D2" s="36" t="s">
        <v>3</v>
      </c>
      <c r="E2" s="36" t="s">
        <v>4</v>
      </c>
      <c r="F2" s="37" t="s">
        <v>2</v>
      </c>
      <c r="G2" s="38" t="s">
        <v>261</v>
      </c>
      <c r="H2" s="36" t="s">
        <v>250</v>
      </c>
      <c r="I2" s="36" t="s">
        <v>251</v>
      </c>
      <c r="J2" s="36" t="s">
        <v>252</v>
      </c>
      <c r="K2" s="37" t="s">
        <v>253</v>
      </c>
      <c r="L2" s="36" t="s">
        <v>42</v>
      </c>
      <c r="M2" s="36" t="s">
        <v>243</v>
      </c>
      <c r="N2" s="36" t="s">
        <v>244</v>
      </c>
      <c r="O2" s="36" t="s">
        <v>260</v>
      </c>
      <c r="P2" s="37" t="s">
        <v>140</v>
      </c>
      <c r="Q2" s="36" t="s">
        <v>254</v>
      </c>
      <c r="R2" s="36" t="s">
        <v>255</v>
      </c>
      <c r="S2" s="36" t="s">
        <v>244</v>
      </c>
      <c r="T2" s="36" t="s">
        <v>256</v>
      </c>
      <c r="U2" s="37" t="s">
        <v>257</v>
      </c>
      <c r="V2" s="34" t="s">
        <v>259</v>
      </c>
    </row>
    <row r="3" spans="1:22" s="3" customFormat="1" ht="19" thickTop="1">
      <c r="A3" s="3">
        <v>-180</v>
      </c>
      <c r="B3" s="17">
        <v>-180</v>
      </c>
      <c r="C3" s="5">
        <v>121.005</v>
      </c>
      <c r="D3" s="3">
        <v>124.026</v>
      </c>
      <c r="E3" s="3">
        <f>360-(C3+D3)</f>
        <v>114.96899999999999</v>
      </c>
      <c r="F3" s="25">
        <f>360-(114.966+D3+C3)</f>
        <v>3.0000000000427463E-3</v>
      </c>
      <c r="G3" s="30">
        <v>1.343</v>
      </c>
      <c r="H3" s="9">
        <v>1.3879999999999999</v>
      </c>
      <c r="I3" s="9">
        <v>-2.403</v>
      </c>
      <c r="J3" s="8" t="s">
        <v>75</v>
      </c>
      <c r="K3" s="21">
        <v>178.137</v>
      </c>
      <c r="L3" s="3">
        <f t="shared" ref="L3:L66" si="0">H3-J3</f>
        <v>180.53900000000002</v>
      </c>
      <c r="M3" s="3">
        <f>L3+180</f>
        <v>360.53899999999999</v>
      </c>
      <c r="N3" s="3">
        <f>MOD(M3,360)</f>
        <v>0.53899999999998727</v>
      </c>
      <c r="O3" s="27">
        <f>IF(N3&gt;=180,N3-360,N3)</f>
        <v>0.53899999999998727</v>
      </c>
      <c r="P3" s="17">
        <f t="shared" ref="P3:P66" si="1">O3-$O$299</f>
        <v>1.3999999999986246E-2</v>
      </c>
      <c r="Q3" s="3">
        <f t="shared" ref="Q3:Q66" si="2">I3-J3</f>
        <v>176.74800000000002</v>
      </c>
      <c r="R3" s="3">
        <f>Q3+180</f>
        <v>356.74800000000005</v>
      </c>
      <c r="S3" s="3">
        <f>MOD(R3,360)</f>
        <v>356.74800000000005</v>
      </c>
      <c r="T3" s="27">
        <f>IF(S3&gt;=180,S3-360,S3)</f>
        <v>-3.2519999999999527</v>
      </c>
      <c r="U3" s="17">
        <f t="shared" ref="U3:U66" si="3">T3-$T$299</f>
        <v>0.17687837837842313</v>
      </c>
      <c r="V3" s="27">
        <f t="shared" ref="V3:V66" si="4">(H3+I3)/2</f>
        <v>-0.50750000000000006</v>
      </c>
    </row>
    <row r="4" spans="1:22" s="3" customFormat="1">
      <c r="A4" s="3">
        <v>-180</v>
      </c>
      <c r="B4" s="17">
        <f>B3+10</f>
        <v>-170</v>
      </c>
      <c r="C4" s="5">
        <v>120.88500000000001</v>
      </c>
      <c r="D4" s="3">
        <v>124.02500000000001</v>
      </c>
      <c r="E4" s="3">
        <f t="shared" ref="E4:E67" si="5">360-(C4+D4)</f>
        <v>115.08999999999997</v>
      </c>
      <c r="F4" s="25">
        <f>360-(115.09+D4+C4)</f>
        <v>0</v>
      </c>
      <c r="G4" s="30">
        <v>1.343</v>
      </c>
      <c r="H4" s="9">
        <v>3.5369999999999999</v>
      </c>
      <c r="I4" s="9">
        <v>-1.6819999999999999</v>
      </c>
      <c r="J4" s="8" t="s">
        <v>76</v>
      </c>
      <c r="K4" s="21">
        <v>178.51400000000001</v>
      </c>
      <c r="L4" s="3">
        <f t="shared" si="0"/>
        <v>180.196</v>
      </c>
      <c r="M4" s="3">
        <f t="shared" ref="M4:M67" si="6">L4+180</f>
        <v>360.19600000000003</v>
      </c>
      <c r="N4" s="3">
        <f t="shared" ref="N4:N67" si="7">MOD(M4,360)</f>
        <v>0.19600000000002638</v>
      </c>
      <c r="O4" s="27">
        <f t="shared" ref="O4:O67" si="8">IF(N4&gt;=180,N4-360,N4)</f>
        <v>0.19600000000002638</v>
      </c>
      <c r="P4" s="17">
        <f t="shared" si="1"/>
        <v>-0.32899999999997465</v>
      </c>
      <c r="Q4" s="3">
        <f t="shared" si="2"/>
        <v>174.977</v>
      </c>
      <c r="R4" s="3">
        <f t="shared" ref="R4:R67" si="9">Q4+180</f>
        <v>354.97699999999998</v>
      </c>
      <c r="S4" s="3">
        <f t="shared" ref="S4:S67" si="10">MOD(R4,360)</f>
        <v>354.97699999999998</v>
      </c>
      <c r="T4" s="27">
        <f t="shared" ref="T4:T67" si="11">IF(S4&gt;=180,S4-360,S4)</f>
        <v>-5.0230000000000246</v>
      </c>
      <c r="U4" s="17">
        <f t="shared" si="3"/>
        <v>-1.5941216216216487</v>
      </c>
      <c r="V4" s="27">
        <f t="shared" si="4"/>
        <v>0.92749999999999999</v>
      </c>
    </row>
    <row r="5" spans="1:22" s="3" customFormat="1">
      <c r="A5" s="3">
        <v>-180</v>
      </c>
      <c r="B5" s="17">
        <f t="shared" ref="B5:B39" si="12">B4+10</f>
        <v>-160</v>
      </c>
      <c r="C5" s="5">
        <v>120.71</v>
      </c>
      <c r="D5" s="3">
        <v>124.02500000000001</v>
      </c>
      <c r="E5" s="3">
        <f t="shared" si="5"/>
        <v>115.26499999999999</v>
      </c>
      <c r="F5" s="25">
        <f>360-(115.265+D5+C5)</f>
        <v>0</v>
      </c>
      <c r="G5" s="30">
        <v>1.343</v>
      </c>
      <c r="H5" s="9">
        <v>5.375</v>
      </c>
      <c r="I5" s="9">
        <v>-1.4039999999999999</v>
      </c>
      <c r="J5" s="8" t="s">
        <v>77</v>
      </c>
      <c r="K5" s="21">
        <v>178.809</v>
      </c>
      <c r="L5" s="3">
        <f t="shared" si="0"/>
        <v>180.21199999999999</v>
      </c>
      <c r="M5" s="3">
        <f t="shared" si="6"/>
        <v>360.21199999999999</v>
      </c>
      <c r="N5" s="3">
        <f t="shared" si="7"/>
        <v>0.21199999999998909</v>
      </c>
      <c r="O5" s="27">
        <f t="shared" si="8"/>
        <v>0.21199999999998909</v>
      </c>
      <c r="P5" s="17">
        <f t="shared" si="1"/>
        <v>-0.31300000000001194</v>
      </c>
      <c r="Q5" s="3">
        <f t="shared" si="2"/>
        <v>173.43299999999999</v>
      </c>
      <c r="R5" s="3">
        <f t="shared" si="9"/>
        <v>353.43299999999999</v>
      </c>
      <c r="S5" s="3">
        <f t="shared" si="10"/>
        <v>353.43299999999999</v>
      </c>
      <c r="T5" s="27">
        <f t="shared" si="11"/>
        <v>-6.5670000000000073</v>
      </c>
      <c r="U5" s="17">
        <f t="shared" si="3"/>
        <v>-3.1381216216216314</v>
      </c>
      <c r="V5" s="27">
        <f t="shared" si="4"/>
        <v>1.9855</v>
      </c>
    </row>
    <row r="6" spans="1:22" s="3" customFormat="1">
      <c r="A6" s="3">
        <v>-180</v>
      </c>
      <c r="B6" s="17">
        <f t="shared" si="12"/>
        <v>-150</v>
      </c>
      <c r="C6" s="5">
        <v>120.473</v>
      </c>
      <c r="D6" s="3">
        <v>124.212</v>
      </c>
      <c r="E6" s="3">
        <f t="shared" si="5"/>
        <v>115.315</v>
      </c>
      <c r="F6" s="25">
        <f>360-(115.313+D6+C6)</f>
        <v>2.0000000000095497E-3</v>
      </c>
      <c r="G6" s="30">
        <v>1.343</v>
      </c>
      <c r="H6" s="9">
        <v>5.3470000000000004</v>
      </c>
      <c r="I6" s="9">
        <v>-0.74099999999999999</v>
      </c>
      <c r="J6" s="8" t="s">
        <v>78</v>
      </c>
      <c r="K6" s="21">
        <v>179.76400000000001</v>
      </c>
      <c r="L6" s="3">
        <f t="shared" si="0"/>
        <v>180.505</v>
      </c>
      <c r="M6" s="3">
        <f t="shared" si="6"/>
        <v>360.505</v>
      </c>
      <c r="N6" s="3">
        <f t="shared" si="7"/>
        <v>0.50499999999999545</v>
      </c>
      <c r="O6" s="27">
        <f t="shared" si="8"/>
        <v>0.50499999999999545</v>
      </c>
      <c r="P6" s="17">
        <f t="shared" si="1"/>
        <v>-2.0000000000005569E-2</v>
      </c>
      <c r="Q6" s="3">
        <f t="shared" si="2"/>
        <v>174.41699999999997</v>
      </c>
      <c r="R6" s="3">
        <f t="shared" si="9"/>
        <v>354.41699999999997</v>
      </c>
      <c r="S6" s="3">
        <f t="shared" si="10"/>
        <v>354.41699999999997</v>
      </c>
      <c r="T6" s="27">
        <f t="shared" si="11"/>
        <v>-5.5830000000000268</v>
      </c>
      <c r="U6" s="17">
        <f t="shared" si="3"/>
        <v>-2.154121621621651</v>
      </c>
      <c r="V6" s="27">
        <f t="shared" si="4"/>
        <v>2.3030000000000004</v>
      </c>
    </row>
    <row r="7" spans="1:22" s="3" customFormat="1">
      <c r="A7" s="3">
        <v>-180</v>
      </c>
      <c r="B7" s="17">
        <f t="shared" si="12"/>
        <v>-140</v>
      </c>
      <c r="C7" s="5">
        <v>120.227</v>
      </c>
      <c r="D7" s="3">
        <v>124.117</v>
      </c>
      <c r="E7" s="3">
        <f t="shared" si="5"/>
        <v>115.65600000000001</v>
      </c>
      <c r="F7" s="25">
        <f>360-(115.646+D7+C7)</f>
        <v>9.9999999999909051E-3</v>
      </c>
      <c r="G7" s="30">
        <v>1.343</v>
      </c>
      <c r="H7" s="9">
        <v>5.9139999999999997</v>
      </c>
      <c r="I7" s="9">
        <v>-1.59</v>
      </c>
      <c r="J7" s="8" t="s">
        <v>79</v>
      </c>
      <c r="K7" s="21">
        <v>179.56800000000001</v>
      </c>
      <c r="L7" s="3">
        <f t="shared" si="0"/>
        <v>181.15799999999999</v>
      </c>
      <c r="M7" s="3">
        <f t="shared" si="6"/>
        <v>361.15800000000002</v>
      </c>
      <c r="N7" s="3">
        <f t="shared" si="7"/>
        <v>1.1580000000000155</v>
      </c>
      <c r="O7" s="27">
        <f t="shared" si="8"/>
        <v>1.1580000000000155</v>
      </c>
      <c r="P7" s="17">
        <f t="shared" si="1"/>
        <v>0.63300000000001444</v>
      </c>
      <c r="Q7" s="3">
        <f t="shared" si="2"/>
        <v>173.654</v>
      </c>
      <c r="R7" s="3">
        <f t="shared" si="9"/>
        <v>353.654</v>
      </c>
      <c r="S7" s="3">
        <f t="shared" si="10"/>
        <v>353.654</v>
      </c>
      <c r="T7" s="27">
        <f t="shared" si="11"/>
        <v>-6.3460000000000036</v>
      </c>
      <c r="U7" s="17">
        <f t="shared" si="3"/>
        <v>-2.9171216216216278</v>
      </c>
      <c r="V7" s="27">
        <f t="shared" si="4"/>
        <v>2.1619999999999999</v>
      </c>
    </row>
    <row r="8" spans="1:22" s="3" customFormat="1">
      <c r="A8" s="3">
        <v>-180</v>
      </c>
      <c r="B8" s="17">
        <f t="shared" si="12"/>
        <v>-130</v>
      </c>
      <c r="C8" s="5">
        <v>120.01300000000001</v>
      </c>
      <c r="D8" s="3">
        <v>124.062</v>
      </c>
      <c r="E8" s="3">
        <f t="shared" si="5"/>
        <v>115.92500000000001</v>
      </c>
      <c r="F8" s="25">
        <f>360-(115.898+D8+C8)</f>
        <v>2.7000000000043656E-2</v>
      </c>
      <c r="G8" s="30">
        <v>1.3440000000000001</v>
      </c>
      <c r="H8" s="9">
        <v>5.7569999999999997</v>
      </c>
      <c r="I8" s="9">
        <v>-2.6739999999999999</v>
      </c>
      <c r="J8" s="8" t="s">
        <v>80</v>
      </c>
      <c r="K8" s="21">
        <v>179.21199999999999</v>
      </c>
      <c r="L8" s="3">
        <f t="shared" si="0"/>
        <v>181.887</v>
      </c>
      <c r="M8" s="3">
        <f t="shared" si="6"/>
        <v>361.887</v>
      </c>
      <c r="N8" s="3">
        <f t="shared" si="7"/>
        <v>1.8870000000000005</v>
      </c>
      <c r="O8" s="27">
        <f t="shared" si="8"/>
        <v>1.8870000000000005</v>
      </c>
      <c r="P8" s="17">
        <f t="shared" si="1"/>
        <v>1.3619999999999994</v>
      </c>
      <c r="Q8" s="3">
        <f t="shared" si="2"/>
        <v>173.45599999999999</v>
      </c>
      <c r="R8" s="3">
        <f t="shared" si="9"/>
        <v>353.45600000000002</v>
      </c>
      <c r="S8" s="3">
        <f t="shared" si="10"/>
        <v>353.45600000000002</v>
      </c>
      <c r="T8" s="27">
        <f t="shared" si="11"/>
        <v>-6.5439999999999827</v>
      </c>
      <c r="U8" s="17">
        <f t="shared" si="3"/>
        <v>-3.1151216216216069</v>
      </c>
      <c r="V8" s="27">
        <f t="shared" si="4"/>
        <v>1.5414999999999999</v>
      </c>
    </row>
    <row r="9" spans="1:22" s="3" customFormat="1">
      <c r="A9" s="3">
        <v>-180</v>
      </c>
      <c r="B9" s="17">
        <f t="shared" si="12"/>
        <v>-120</v>
      </c>
      <c r="C9" s="5">
        <v>119.95399999999999</v>
      </c>
      <c r="D9" s="3">
        <v>123.928</v>
      </c>
      <c r="E9" s="3">
        <f t="shared" si="5"/>
        <v>116.11799999999999</v>
      </c>
      <c r="F9" s="25">
        <f>360-(116.064+D9+C9)</f>
        <v>5.4000000000030468E-2</v>
      </c>
      <c r="G9" s="30">
        <v>1.3440000000000001</v>
      </c>
      <c r="H9" s="9">
        <v>5.1059999999999999</v>
      </c>
      <c r="I9" s="9">
        <v>-4.05</v>
      </c>
      <c r="J9" s="8" t="s">
        <v>81</v>
      </c>
      <c r="K9" s="21">
        <v>178.626</v>
      </c>
      <c r="L9" s="3">
        <f t="shared" si="0"/>
        <v>182.67599999999999</v>
      </c>
      <c r="M9" s="3">
        <f t="shared" si="6"/>
        <v>362.67599999999999</v>
      </c>
      <c r="N9" s="3">
        <f t="shared" si="7"/>
        <v>2.6759999999999877</v>
      </c>
      <c r="O9" s="27">
        <f t="shared" si="8"/>
        <v>2.6759999999999877</v>
      </c>
      <c r="P9" s="17">
        <f t="shared" si="1"/>
        <v>2.1509999999999865</v>
      </c>
      <c r="Q9" s="3">
        <f t="shared" si="2"/>
        <v>173.51999999999998</v>
      </c>
      <c r="R9" s="3">
        <f t="shared" si="9"/>
        <v>353.52</v>
      </c>
      <c r="S9" s="3">
        <f t="shared" si="10"/>
        <v>353.52</v>
      </c>
      <c r="T9" s="27">
        <f t="shared" si="11"/>
        <v>-6.4800000000000182</v>
      </c>
      <c r="U9" s="17">
        <f t="shared" si="3"/>
        <v>-3.0511216216216424</v>
      </c>
      <c r="V9" s="27">
        <f t="shared" si="4"/>
        <v>0.52800000000000002</v>
      </c>
    </row>
    <row r="10" spans="1:22" s="3" customFormat="1">
      <c r="A10" s="3">
        <v>-180</v>
      </c>
      <c r="B10" s="17">
        <f t="shared" si="12"/>
        <v>-110</v>
      </c>
      <c r="C10" s="5">
        <v>120.116</v>
      </c>
      <c r="D10" s="3">
        <v>123.934</v>
      </c>
      <c r="E10" s="3">
        <f t="shared" si="5"/>
        <v>115.94999999999999</v>
      </c>
      <c r="F10" s="25">
        <f>360-(115.887+D10+C10)</f>
        <v>6.2999999999988177E-2</v>
      </c>
      <c r="G10" s="30">
        <v>1.345</v>
      </c>
      <c r="H10" s="9">
        <v>3.35</v>
      </c>
      <c r="I10" s="9">
        <v>-4.3330000000000002</v>
      </c>
      <c r="J10" s="8" t="s">
        <v>82</v>
      </c>
      <c r="K10" s="21">
        <v>178.54499999999999</v>
      </c>
      <c r="L10" s="3">
        <f t="shared" si="0"/>
        <v>182.87799999999999</v>
      </c>
      <c r="M10" s="3">
        <f t="shared" si="6"/>
        <v>362.87799999999999</v>
      </c>
      <c r="N10" s="3">
        <f t="shared" si="7"/>
        <v>2.8779999999999859</v>
      </c>
      <c r="O10" s="27">
        <f t="shared" si="8"/>
        <v>2.8779999999999859</v>
      </c>
      <c r="P10" s="17">
        <f t="shared" si="1"/>
        <v>2.3529999999999847</v>
      </c>
      <c r="Q10" s="3">
        <f t="shared" si="2"/>
        <v>175.19499999999999</v>
      </c>
      <c r="R10" s="3">
        <f t="shared" si="9"/>
        <v>355.19499999999999</v>
      </c>
      <c r="S10" s="3">
        <f t="shared" si="10"/>
        <v>355.19499999999999</v>
      </c>
      <c r="T10" s="27">
        <f t="shared" si="11"/>
        <v>-4.8050000000000068</v>
      </c>
      <c r="U10" s="17">
        <f t="shared" si="3"/>
        <v>-1.376121621621631</v>
      </c>
      <c r="V10" s="27">
        <f t="shared" si="4"/>
        <v>-0.49150000000000005</v>
      </c>
    </row>
    <row r="11" spans="1:22" s="3" customFormat="1">
      <c r="A11" s="3">
        <v>-180</v>
      </c>
      <c r="B11" s="17">
        <f t="shared" si="12"/>
        <v>-100</v>
      </c>
      <c r="C11" s="5">
        <v>120.42400000000001</v>
      </c>
      <c r="D11" s="3">
        <v>123.879</v>
      </c>
      <c r="E11" s="3">
        <f t="shared" si="5"/>
        <v>115.697</v>
      </c>
      <c r="F11" s="25">
        <f>360-(115.638+D11+C11)</f>
        <v>5.8999999999969077E-2</v>
      </c>
      <c r="G11" s="30">
        <v>1.3460000000000001</v>
      </c>
      <c r="H11" s="9">
        <v>2.4700000000000002</v>
      </c>
      <c r="I11" s="9">
        <v>-4.7149999999999999</v>
      </c>
      <c r="J11" s="9">
        <v>179.66499999999999</v>
      </c>
      <c r="K11" s="21">
        <v>178.09</v>
      </c>
      <c r="L11" s="3">
        <f t="shared" si="0"/>
        <v>-177.19499999999999</v>
      </c>
      <c r="M11" s="3">
        <f t="shared" si="6"/>
        <v>2.8050000000000068</v>
      </c>
      <c r="N11" s="3">
        <f t="shared" si="7"/>
        <v>2.8050000000000068</v>
      </c>
      <c r="O11" s="27">
        <f t="shared" si="8"/>
        <v>2.8050000000000068</v>
      </c>
      <c r="P11" s="17">
        <f t="shared" si="1"/>
        <v>2.2800000000000056</v>
      </c>
      <c r="Q11" s="3">
        <f t="shared" si="2"/>
        <v>-184.38</v>
      </c>
      <c r="R11" s="3">
        <f t="shared" si="9"/>
        <v>-4.3799999999999955</v>
      </c>
      <c r="S11" s="3">
        <f t="shared" si="10"/>
        <v>355.62</v>
      </c>
      <c r="T11" s="27">
        <f t="shared" si="11"/>
        <v>-4.3799999999999955</v>
      </c>
      <c r="U11" s="17">
        <f t="shared" si="3"/>
        <v>-0.95112162162161962</v>
      </c>
      <c r="V11" s="27">
        <f t="shared" si="4"/>
        <v>-1.1224999999999998</v>
      </c>
    </row>
    <row r="12" spans="1:22" s="3" customFormat="1">
      <c r="A12" s="3">
        <v>-180</v>
      </c>
      <c r="B12" s="17">
        <f t="shared" si="12"/>
        <v>-90</v>
      </c>
      <c r="C12" s="5">
        <v>120.767</v>
      </c>
      <c r="D12" s="3">
        <v>123.873</v>
      </c>
      <c r="E12" s="3">
        <f t="shared" si="5"/>
        <v>115.36000000000001</v>
      </c>
      <c r="F12" s="25">
        <f>360-(115.321+D12+C12)</f>
        <v>3.8999999999987267E-2</v>
      </c>
      <c r="G12" s="30">
        <v>1.3460000000000001</v>
      </c>
      <c r="H12" s="9">
        <v>0.97599999999999998</v>
      </c>
      <c r="I12" s="9">
        <v>-4.7030000000000003</v>
      </c>
      <c r="J12" s="9">
        <v>178.71299999999999</v>
      </c>
      <c r="K12" s="21">
        <v>177.56</v>
      </c>
      <c r="L12" s="3">
        <f t="shared" si="0"/>
        <v>-177.73699999999999</v>
      </c>
      <c r="M12" s="3">
        <f t="shared" si="6"/>
        <v>2.2630000000000052</v>
      </c>
      <c r="N12" s="3">
        <f t="shared" si="7"/>
        <v>2.2630000000000052</v>
      </c>
      <c r="O12" s="27">
        <f t="shared" si="8"/>
        <v>2.2630000000000052</v>
      </c>
      <c r="P12" s="17">
        <f t="shared" si="1"/>
        <v>1.7380000000000042</v>
      </c>
      <c r="Q12" s="3">
        <f t="shared" si="2"/>
        <v>-183.416</v>
      </c>
      <c r="R12" s="3">
        <f t="shared" si="9"/>
        <v>-3.4159999999999968</v>
      </c>
      <c r="S12" s="3">
        <f t="shared" si="10"/>
        <v>356.584</v>
      </c>
      <c r="T12" s="27">
        <f t="shared" si="11"/>
        <v>-3.4159999999999968</v>
      </c>
      <c r="U12" s="17">
        <f t="shared" si="3"/>
        <v>1.2878378378379018E-2</v>
      </c>
      <c r="V12" s="27">
        <f t="shared" si="4"/>
        <v>-1.8635000000000002</v>
      </c>
    </row>
    <row r="13" spans="1:22" s="3" customFormat="1">
      <c r="A13" s="3">
        <v>-180</v>
      </c>
      <c r="B13" s="17">
        <f t="shared" si="12"/>
        <v>-80</v>
      </c>
      <c r="C13" s="5">
        <v>120.97</v>
      </c>
      <c r="D13" s="3">
        <v>123.849</v>
      </c>
      <c r="E13" s="3">
        <f t="shared" si="5"/>
        <v>115.18099999999998</v>
      </c>
      <c r="F13" s="25">
        <f>360-(115.167+D13+C13)</f>
        <v>1.4000000000010004E-2</v>
      </c>
      <c r="G13" s="30">
        <v>1.347</v>
      </c>
      <c r="H13" s="9">
        <v>0.40200000000000002</v>
      </c>
      <c r="I13" s="9">
        <v>-4.2539999999999996</v>
      </c>
      <c r="J13" s="9">
        <v>179.02199999999999</v>
      </c>
      <c r="K13" s="21">
        <v>177.125</v>
      </c>
      <c r="L13" s="3">
        <f t="shared" si="0"/>
        <v>-178.62</v>
      </c>
      <c r="M13" s="3">
        <f t="shared" si="6"/>
        <v>1.3799999999999955</v>
      </c>
      <c r="N13" s="3">
        <f t="shared" si="7"/>
        <v>1.3799999999999955</v>
      </c>
      <c r="O13" s="27">
        <f t="shared" si="8"/>
        <v>1.3799999999999955</v>
      </c>
      <c r="P13" s="17">
        <f t="shared" si="1"/>
        <v>0.85499999999999443</v>
      </c>
      <c r="Q13" s="3">
        <f t="shared" si="2"/>
        <v>-183.27599999999998</v>
      </c>
      <c r="R13" s="3">
        <f t="shared" si="9"/>
        <v>-3.275999999999982</v>
      </c>
      <c r="S13" s="3">
        <f t="shared" si="10"/>
        <v>356.72400000000005</v>
      </c>
      <c r="T13" s="27">
        <f t="shared" si="11"/>
        <v>-3.2759999999999536</v>
      </c>
      <c r="U13" s="17">
        <f t="shared" si="3"/>
        <v>0.15287837837842222</v>
      </c>
      <c r="V13" s="27">
        <f t="shared" si="4"/>
        <v>-1.9259999999999997</v>
      </c>
    </row>
    <row r="14" spans="1:22" s="3" customFormat="1">
      <c r="A14" s="3">
        <v>-180</v>
      </c>
      <c r="B14" s="17">
        <f t="shared" si="12"/>
        <v>-70</v>
      </c>
      <c r="C14" s="5">
        <v>121.053</v>
      </c>
      <c r="D14" s="3">
        <v>123.84699999999999</v>
      </c>
      <c r="E14" s="3">
        <f t="shared" si="5"/>
        <v>115.10000000000002</v>
      </c>
      <c r="F14" s="25">
        <f>360-(115.098+D14+C14)</f>
        <v>2.0000000000095497E-3</v>
      </c>
      <c r="G14" s="30">
        <v>1.347</v>
      </c>
      <c r="H14" s="8" t="s">
        <v>83</v>
      </c>
      <c r="I14" s="8">
        <v>-3.9670000000000001</v>
      </c>
      <c r="J14" s="9">
        <v>179.15100000000001</v>
      </c>
      <c r="K14" s="21">
        <v>176.50200000000001</v>
      </c>
      <c r="L14" s="3">
        <f t="shared" si="0"/>
        <v>-179.53100000000001</v>
      </c>
      <c r="M14" s="3">
        <f t="shared" si="6"/>
        <v>0.46899999999999409</v>
      </c>
      <c r="N14" s="3">
        <f t="shared" si="7"/>
        <v>0.46899999999999409</v>
      </c>
      <c r="O14" s="27">
        <f t="shared" si="8"/>
        <v>0.46899999999999409</v>
      </c>
      <c r="P14" s="17">
        <f t="shared" si="1"/>
        <v>-5.6000000000006933E-2</v>
      </c>
      <c r="Q14" s="3">
        <f t="shared" si="2"/>
        <v>-183.11800000000002</v>
      </c>
      <c r="R14" s="3">
        <f t="shared" si="9"/>
        <v>-3.1180000000000234</v>
      </c>
      <c r="S14" s="3">
        <f t="shared" si="10"/>
        <v>356.88199999999995</v>
      </c>
      <c r="T14" s="27">
        <f t="shared" si="11"/>
        <v>-3.1180000000000518</v>
      </c>
      <c r="U14" s="17">
        <f t="shared" si="3"/>
        <v>0.31087837837832399</v>
      </c>
      <c r="V14" s="27">
        <f t="shared" si="4"/>
        <v>-2.1735000000000002</v>
      </c>
    </row>
    <row r="15" spans="1:22" s="3" customFormat="1">
      <c r="A15" s="3">
        <v>-180</v>
      </c>
      <c r="B15" s="17">
        <f t="shared" si="12"/>
        <v>-60</v>
      </c>
      <c r="C15" s="5">
        <v>120.928</v>
      </c>
      <c r="D15" s="3">
        <v>123.795</v>
      </c>
      <c r="E15" s="3">
        <f t="shared" si="5"/>
        <v>115.27699999999999</v>
      </c>
      <c r="F15" s="25">
        <f>360-(115.274+D15+C15)</f>
        <v>2.9999999999859028E-3</v>
      </c>
      <c r="G15" s="30">
        <v>1.3480000000000001</v>
      </c>
      <c r="H15" s="9">
        <v>7.9000000000000001E-2</v>
      </c>
      <c r="I15" s="9">
        <v>-3.4750000000000001</v>
      </c>
      <c r="J15" s="8" t="s">
        <v>84</v>
      </c>
      <c r="K15" s="21">
        <v>175.97200000000001</v>
      </c>
      <c r="L15" s="3">
        <f t="shared" si="0"/>
        <v>179.447</v>
      </c>
      <c r="M15" s="3">
        <f t="shared" si="6"/>
        <v>359.447</v>
      </c>
      <c r="N15" s="3">
        <f t="shared" si="7"/>
        <v>359.447</v>
      </c>
      <c r="O15" s="27">
        <f t="shared" si="8"/>
        <v>-0.55299999999999727</v>
      </c>
      <c r="P15" s="17">
        <f t="shared" si="1"/>
        <v>-1.0779999999999983</v>
      </c>
      <c r="Q15" s="3">
        <f t="shared" si="2"/>
        <v>175.893</v>
      </c>
      <c r="R15" s="3">
        <f t="shared" si="9"/>
        <v>355.89300000000003</v>
      </c>
      <c r="S15" s="3">
        <f t="shared" si="10"/>
        <v>355.89300000000003</v>
      </c>
      <c r="T15" s="27">
        <f t="shared" si="11"/>
        <v>-4.1069999999999709</v>
      </c>
      <c r="U15" s="17">
        <f t="shared" si="3"/>
        <v>-0.67812162162159506</v>
      </c>
      <c r="V15" s="27">
        <f t="shared" si="4"/>
        <v>-1.698</v>
      </c>
    </row>
    <row r="16" spans="1:22" s="3" customFormat="1">
      <c r="A16" s="3">
        <v>-180</v>
      </c>
      <c r="B16" s="17">
        <f t="shared" si="12"/>
        <v>-50</v>
      </c>
      <c r="C16" s="5">
        <v>120.575</v>
      </c>
      <c r="D16" s="3">
        <v>123.764</v>
      </c>
      <c r="E16" s="3">
        <f t="shared" si="5"/>
        <v>115.661</v>
      </c>
      <c r="F16" s="25">
        <f>360-(115.65+D16+C16)</f>
        <v>1.1000000000024102E-2</v>
      </c>
      <c r="G16" s="30">
        <v>1.3480000000000001</v>
      </c>
      <c r="H16" s="9">
        <v>0.64800000000000002</v>
      </c>
      <c r="I16" s="9">
        <v>-3.57</v>
      </c>
      <c r="J16" s="8" t="s">
        <v>85</v>
      </c>
      <c r="K16" s="21">
        <v>175.20099999999999</v>
      </c>
      <c r="L16" s="3">
        <f t="shared" si="0"/>
        <v>178.77099999999999</v>
      </c>
      <c r="M16" s="3">
        <f t="shared" si="6"/>
        <v>358.77099999999996</v>
      </c>
      <c r="N16" s="3">
        <f t="shared" si="7"/>
        <v>358.77099999999996</v>
      </c>
      <c r="O16" s="27">
        <f t="shared" si="8"/>
        <v>-1.2290000000000418</v>
      </c>
      <c r="P16" s="17">
        <f t="shared" si="1"/>
        <v>-1.7540000000000429</v>
      </c>
      <c r="Q16" s="3">
        <f t="shared" si="2"/>
        <v>174.553</v>
      </c>
      <c r="R16" s="3">
        <f t="shared" si="9"/>
        <v>354.553</v>
      </c>
      <c r="S16" s="3">
        <f t="shared" si="10"/>
        <v>354.553</v>
      </c>
      <c r="T16" s="27">
        <f t="shared" si="11"/>
        <v>-5.4470000000000027</v>
      </c>
      <c r="U16" s="17">
        <f t="shared" si="3"/>
        <v>-2.0181216216216269</v>
      </c>
      <c r="V16" s="27">
        <f t="shared" si="4"/>
        <v>-1.4609999999999999</v>
      </c>
    </row>
    <row r="17" spans="1:22" s="3" customFormat="1">
      <c r="A17" s="3">
        <v>-180</v>
      </c>
      <c r="B17" s="17">
        <f t="shared" si="12"/>
        <v>-40</v>
      </c>
      <c r="C17" s="5">
        <v>120.07</v>
      </c>
      <c r="D17" s="3">
        <v>123.815</v>
      </c>
      <c r="E17" s="3">
        <f t="shared" si="5"/>
        <v>116.11500000000001</v>
      </c>
      <c r="F17" s="25">
        <f>360-(116.102+D17+C17)</f>
        <v>1.3000000000033651E-2</v>
      </c>
      <c r="G17" s="30">
        <v>1.3480000000000001</v>
      </c>
      <c r="H17" s="9">
        <v>1.522</v>
      </c>
      <c r="I17" s="9">
        <v>-4.8620000000000001</v>
      </c>
      <c r="J17" s="8" t="s">
        <v>86</v>
      </c>
      <c r="K17" s="21">
        <v>173.81200000000001</v>
      </c>
      <c r="L17" s="3">
        <f t="shared" si="0"/>
        <v>178.673</v>
      </c>
      <c r="M17" s="3">
        <f t="shared" si="6"/>
        <v>358.673</v>
      </c>
      <c r="N17" s="3">
        <f t="shared" si="7"/>
        <v>358.673</v>
      </c>
      <c r="O17" s="27">
        <f t="shared" si="8"/>
        <v>-1.3269999999999982</v>
      </c>
      <c r="P17" s="17">
        <f t="shared" si="1"/>
        <v>-1.8519999999999992</v>
      </c>
      <c r="Q17" s="3">
        <f t="shared" si="2"/>
        <v>172.28900000000002</v>
      </c>
      <c r="R17" s="3">
        <f t="shared" si="9"/>
        <v>352.28899999999999</v>
      </c>
      <c r="S17" s="3">
        <f t="shared" si="10"/>
        <v>352.28899999999999</v>
      </c>
      <c r="T17" s="27">
        <f t="shared" si="11"/>
        <v>-7.7110000000000127</v>
      </c>
      <c r="U17" s="17">
        <f t="shared" si="3"/>
        <v>-4.2821216216216369</v>
      </c>
      <c r="V17" s="27">
        <f t="shared" si="4"/>
        <v>-1.67</v>
      </c>
    </row>
    <row r="18" spans="1:22" s="3" customFormat="1">
      <c r="A18" s="3">
        <v>-180</v>
      </c>
      <c r="B18" s="17">
        <f t="shared" si="12"/>
        <v>-30</v>
      </c>
      <c r="C18" s="5">
        <v>119.462</v>
      </c>
      <c r="D18" s="3">
        <v>123.84099999999999</v>
      </c>
      <c r="E18" s="3">
        <f t="shared" si="5"/>
        <v>116.697</v>
      </c>
      <c r="F18" s="25">
        <f>360-(116.692+D18+C18)</f>
        <v>4.9999999999954525E-3</v>
      </c>
      <c r="G18" s="30">
        <v>1.3480000000000001</v>
      </c>
      <c r="H18" s="9">
        <v>3.0289999999999999</v>
      </c>
      <c r="I18" s="9">
        <v>-7.3239999999999998</v>
      </c>
      <c r="J18" s="8" t="s">
        <v>87</v>
      </c>
      <c r="K18" s="21">
        <v>171.86600000000001</v>
      </c>
      <c r="L18" s="3">
        <f t="shared" si="0"/>
        <v>179.19</v>
      </c>
      <c r="M18" s="3">
        <f t="shared" si="6"/>
        <v>359.19</v>
      </c>
      <c r="N18" s="3">
        <f t="shared" si="7"/>
        <v>359.19</v>
      </c>
      <c r="O18" s="27">
        <f t="shared" si="8"/>
        <v>-0.81000000000000227</v>
      </c>
      <c r="P18" s="17">
        <f t="shared" si="1"/>
        <v>-1.3350000000000033</v>
      </c>
      <c r="Q18" s="3">
        <f t="shared" si="2"/>
        <v>168.83699999999999</v>
      </c>
      <c r="R18" s="3">
        <f t="shared" si="9"/>
        <v>348.83699999999999</v>
      </c>
      <c r="S18" s="3">
        <f t="shared" si="10"/>
        <v>348.83699999999999</v>
      </c>
      <c r="T18" s="27">
        <f t="shared" si="11"/>
        <v>-11.163000000000011</v>
      </c>
      <c r="U18" s="17">
        <f t="shared" si="3"/>
        <v>-7.7341216216216351</v>
      </c>
      <c r="V18" s="27">
        <f t="shared" si="4"/>
        <v>-2.1475</v>
      </c>
    </row>
    <row r="19" spans="1:22" s="3" customFormat="1">
      <c r="A19" s="3">
        <v>-180</v>
      </c>
      <c r="B19" s="17">
        <f t="shared" si="12"/>
        <v>-20</v>
      </c>
      <c r="C19" s="5">
        <v>118.864</v>
      </c>
      <c r="D19" s="3">
        <v>123.759</v>
      </c>
      <c r="E19" s="3">
        <f t="shared" si="5"/>
        <v>117.37700000000001</v>
      </c>
      <c r="F19" s="25">
        <f>360-(117.376+D19+C19)</f>
        <v>9.9999999997635314E-4</v>
      </c>
      <c r="G19" s="30">
        <v>1.3480000000000001</v>
      </c>
      <c r="H19" s="9">
        <v>3.9849999999999999</v>
      </c>
      <c r="I19" s="9">
        <v>-10.683999999999999</v>
      </c>
      <c r="J19" s="8" t="s">
        <v>88</v>
      </c>
      <c r="K19" s="21">
        <v>169.804</v>
      </c>
      <c r="L19" s="3">
        <f t="shared" si="0"/>
        <v>180.488</v>
      </c>
      <c r="M19" s="3">
        <f t="shared" si="6"/>
        <v>360.488</v>
      </c>
      <c r="N19" s="3">
        <f t="shared" si="7"/>
        <v>0.48799999999999955</v>
      </c>
      <c r="O19" s="27">
        <f t="shared" si="8"/>
        <v>0.48799999999999955</v>
      </c>
      <c r="P19" s="17">
        <f t="shared" si="1"/>
        <v>-3.7000000000001476E-2</v>
      </c>
      <c r="Q19" s="3">
        <f t="shared" si="2"/>
        <v>165.81899999999999</v>
      </c>
      <c r="R19" s="3">
        <f t="shared" si="9"/>
        <v>345.81899999999996</v>
      </c>
      <c r="S19" s="3">
        <f t="shared" si="10"/>
        <v>345.81899999999996</v>
      </c>
      <c r="T19" s="27">
        <f t="shared" si="11"/>
        <v>-14.18100000000004</v>
      </c>
      <c r="U19" s="17">
        <f t="shared" si="3"/>
        <v>-10.752121621621665</v>
      </c>
      <c r="V19" s="27">
        <f t="shared" si="4"/>
        <v>-3.3494999999999999</v>
      </c>
    </row>
    <row r="20" spans="1:22" s="3" customFormat="1">
      <c r="A20" s="3">
        <v>-180</v>
      </c>
      <c r="B20" s="17">
        <f t="shared" si="12"/>
        <v>-10</v>
      </c>
      <c r="C20" s="5">
        <v>118.352</v>
      </c>
      <c r="D20" s="3">
        <v>123.57899999999999</v>
      </c>
      <c r="E20" s="3">
        <f t="shared" si="5"/>
        <v>118.06900000000002</v>
      </c>
      <c r="F20" s="25">
        <f>360-(118.036+D20+C20)</f>
        <v>3.3000000000015461E-2</v>
      </c>
      <c r="G20" s="30">
        <v>1.349</v>
      </c>
      <c r="H20" s="9">
        <v>4.835</v>
      </c>
      <c r="I20" s="9">
        <v>-14.333</v>
      </c>
      <c r="J20" s="8" t="s">
        <v>89</v>
      </c>
      <c r="K20" s="21">
        <v>167.79900000000001</v>
      </c>
      <c r="L20" s="3">
        <f t="shared" si="0"/>
        <v>182.13200000000001</v>
      </c>
      <c r="M20" s="3">
        <f t="shared" si="6"/>
        <v>362.13200000000001</v>
      </c>
      <c r="N20" s="3">
        <f t="shared" si="7"/>
        <v>2.132000000000005</v>
      </c>
      <c r="O20" s="27">
        <f t="shared" si="8"/>
        <v>2.132000000000005</v>
      </c>
      <c r="P20" s="17">
        <f t="shared" si="1"/>
        <v>1.607000000000004</v>
      </c>
      <c r="Q20" s="3">
        <f t="shared" si="2"/>
        <v>162.964</v>
      </c>
      <c r="R20" s="3">
        <f t="shared" si="9"/>
        <v>342.964</v>
      </c>
      <c r="S20" s="3">
        <f t="shared" si="10"/>
        <v>342.964</v>
      </c>
      <c r="T20" s="27">
        <f t="shared" si="11"/>
        <v>-17.036000000000001</v>
      </c>
      <c r="U20" s="17">
        <f t="shared" si="3"/>
        <v>-13.607121621621626</v>
      </c>
      <c r="V20" s="27">
        <f t="shared" si="4"/>
        <v>-4.7490000000000006</v>
      </c>
    </row>
    <row r="21" spans="1:22" s="3" customFormat="1">
      <c r="A21" s="3">
        <v>-180</v>
      </c>
      <c r="B21" s="17">
        <f t="shared" si="12"/>
        <v>0</v>
      </c>
      <c r="C21" s="5">
        <v>117.783</v>
      </c>
      <c r="D21" s="3">
        <v>123.364</v>
      </c>
      <c r="E21" s="3">
        <f t="shared" si="5"/>
        <v>118.85300000000001</v>
      </c>
      <c r="F21" s="25">
        <f>360-(118.795+D21+C21)</f>
        <v>5.7999999999992724E-2</v>
      </c>
      <c r="G21" s="30">
        <v>1.347</v>
      </c>
      <c r="H21" s="8" t="s">
        <v>91</v>
      </c>
      <c r="I21" s="8">
        <v>12.082000000000001</v>
      </c>
      <c r="J21" s="8" t="s">
        <v>90</v>
      </c>
      <c r="K21" s="21">
        <v>170.77500000000001</v>
      </c>
      <c r="L21" s="3">
        <f t="shared" si="0"/>
        <v>177.143</v>
      </c>
      <c r="M21" s="3">
        <f t="shared" si="6"/>
        <v>357.14300000000003</v>
      </c>
      <c r="N21" s="3">
        <f t="shared" si="7"/>
        <v>357.14300000000003</v>
      </c>
      <c r="O21" s="27">
        <f t="shared" si="8"/>
        <v>-2.8569999999999709</v>
      </c>
      <c r="P21" s="17">
        <f t="shared" si="1"/>
        <v>-3.3819999999999721</v>
      </c>
      <c r="Q21" s="3">
        <f t="shared" si="2"/>
        <v>190.87799999999999</v>
      </c>
      <c r="R21" s="3">
        <f t="shared" si="9"/>
        <v>370.87799999999999</v>
      </c>
      <c r="S21" s="3">
        <f t="shared" si="10"/>
        <v>10.877999999999986</v>
      </c>
      <c r="T21" s="27">
        <f t="shared" si="11"/>
        <v>10.877999999999986</v>
      </c>
      <c r="U21" s="17">
        <f t="shared" si="3"/>
        <v>14.306878378378361</v>
      </c>
      <c r="V21" s="27">
        <f t="shared" si="4"/>
        <v>5.2145000000000001</v>
      </c>
    </row>
    <row r="22" spans="1:22" s="3" customFormat="1">
      <c r="A22" s="3">
        <v>-180</v>
      </c>
      <c r="B22" s="17">
        <f t="shared" si="12"/>
        <v>10</v>
      </c>
      <c r="C22" s="5">
        <v>118.239</v>
      </c>
      <c r="D22" s="3">
        <v>123.55800000000001</v>
      </c>
      <c r="E22" s="3">
        <f t="shared" si="5"/>
        <v>118.20299999999997</v>
      </c>
      <c r="F22" s="25">
        <f>360-(118.189+D22+C22)</f>
        <v>1.4000000000010004E-2</v>
      </c>
      <c r="G22" s="30">
        <v>1.347</v>
      </c>
      <c r="H22" s="8" t="s">
        <v>92</v>
      </c>
      <c r="I22" s="8">
        <v>10.308999999999999</v>
      </c>
      <c r="J22" s="9">
        <v>179.422</v>
      </c>
      <c r="K22" s="21">
        <v>171.03700000000001</v>
      </c>
      <c r="L22" s="3">
        <f t="shared" si="0"/>
        <v>-181.346</v>
      </c>
      <c r="M22" s="3">
        <f t="shared" si="6"/>
        <v>-1.3460000000000036</v>
      </c>
      <c r="N22" s="3">
        <f t="shared" si="7"/>
        <v>358.654</v>
      </c>
      <c r="O22" s="27">
        <f t="shared" si="8"/>
        <v>-1.3460000000000036</v>
      </c>
      <c r="P22" s="17">
        <f t="shared" si="1"/>
        <v>-1.8710000000000047</v>
      </c>
      <c r="Q22" s="3">
        <f t="shared" si="2"/>
        <v>-169.113</v>
      </c>
      <c r="R22" s="3">
        <f t="shared" si="9"/>
        <v>10.887</v>
      </c>
      <c r="S22" s="3">
        <f t="shared" si="10"/>
        <v>10.887</v>
      </c>
      <c r="T22" s="27">
        <f t="shared" si="11"/>
        <v>10.887</v>
      </c>
      <c r="U22" s="17">
        <f t="shared" si="3"/>
        <v>14.315878378378375</v>
      </c>
      <c r="V22" s="27">
        <f t="shared" si="4"/>
        <v>4.1924999999999999</v>
      </c>
    </row>
    <row r="23" spans="1:22" s="3" customFormat="1">
      <c r="A23" s="3">
        <v>-180</v>
      </c>
      <c r="B23" s="17">
        <f t="shared" si="12"/>
        <v>20</v>
      </c>
      <c r="C23" s="5">
        <v>118.81</v>
      </c>
      <c r="D23" s="3">
        <v>123.658</v>
      </c>
      <c r="E23" s="3">
        <f t="shared" si="5"/>
        <v>117.53199999999998</v>
      </c>
      <c r="F23" s="25">
        <f>360-(117.531+D23+C23)</f>
        <v>9.9999999997635314E-4</v>
      </c>
      <c r="G23" s="30">
        <v>1.347</v>
      </c>
      <c r="H23" s="8" t="s">
        <v>93</v>
      </c>
      <c r="I23" s="8">
        <v>7.0780000000000003</v>
      </c>
      <c r="J23" s="9">
        <v>178.07900000000001</v>
      </c>
      <c r="K23" s="21">
        <v>172.60400000000001</v>
      </c>
      <c r="L23" s="3">
        <f t="shared" si="0"/>
        <v>-179.68200000000002</v>
      </c>
      <c r="M23" s="3">
        <f t="shared" si="6"/>
        <v>0.31799999999998363</v>
      </c>
      <c r="N23" s="3">
        <f t="shared" si="7"/>
        <v>0.31799999999998363</v>
      </c>
      <c r="O23" s="27">
        <f t="shared" si="8"/>
        <v>0.31799999999998363</v>
      </c>
      <c r="P23" s="17">
        <f t="shared" si="1"/>
        <v>-0.20700000000001739</v>
      </c>
      <c r="Q23" s="3">
        <f t="shared" si="2"/>
        <v>-171.001</v>
      </c>
      <c r="R23" s="3">
        <f t="shared" si="9"/>
        <v>8.9989999999999952</v>
      </c>
      <c r="S23" s="3">
        <f t="shared" si="10"/>
        <v>8.9989999999999952</v>
      </c>
      <c r="T23" s="27">
        <f t="shared" si="11"/>
        <v>8.9989999999999952</v>
      </c>
      <c r="U23" s="17">
        <f t="shared" si="3"/>
        <v>12.42787837837837</v>
      </c>
      <c r="V23" s="27">
        <f t="shared" si="4"/>
        <v>2.7375000000000003</v>
      </c>
    </row>
    <row r="24" spans="1:22" s="3" customFormat="1">
      <c r="A24" s="3">
        <v>-180</v>
      </c>
      <c r="B24" s="17">
        <f t="shared" si="12"/>
        <v>30</v>
      </c>
      <c r="C24" s="5">
        <v>119.39100000000001</v>
      </c>
      <c r="D24" s="3">
        <v>123.79</v>
      </c>
      <c r="E24" s="3">
        <f t="shared" si="5"/>
        <v>116.81899999999999</v>
      </c>
      <c r="F24" s="25">
        <f>360-(116.8+D24+C24)</f>
        <v>1.9000000000005457E-2</v>
      </c>
      <c r="G24" s="30">
        <v>1.347</v>
      </c>
      <c r="H24" s="8" t="s">
        <v>94</v>
      </c>
      <c r="I24" s="8">
        <v>3.3</v>
      </c>
      <c r="J24" s="9">
        <v>178.17500000000001</v>
      </c>
      <c r="K24" s="21">
        <v>175.107</v>
      </c>
      <c r="L24" s="3">
        <f t="shared" si="0"/>
        <v>-178.40700000000001</v>
      </c>
      <c r="M24" s="3">
        <f t="shared" si="6"/>
        <v>1.5929999999999893</v>
      </c>
      <c r="N24" s="3">
        <f t="shared" si="7"/>
        <v>1.5929999999999893</v>
      </c>
      <c r="O24" s="27">
        <f t="shared" si="8"/>
        <v>1.5929999999999893</v>
      </c>
      <c r="P24" s="17">
        <f t="shared" si="1"/>
        <v>1.0679999999999883</v>
      </c>
      <c r="Q24" s="3">
        <f t="shared" si="2"/>
        <v>-174.875</v>
      </c>
      <c r="R24" s="3">
        <f t="shared" si="9"/>
        <v>5.125</v>
      </c>
      <c r="S24" s="3">
        <f t="shared" si="10"/>
        <v>5.125</v>
      </c>
      <c r="T24" s="27">
        <f t="shared" si="11"/>
        <v>5.125</v>
      </c>
      <c r="U24" s="17">
        <f t="shared" si="3"/>
        <v>8.5538783783783749</v>
      </c>
      <c r="V24" s="27">
        <f t="shared" si="4"/>
        <v>1.5339999999999998</v>
      </c>
    </row>
    <row r="25" spans="1:22" s="3" customFormat="1">
      <c r="A25" s="3">
        <v>-180</v>
      </c>
      <c r="B25" s="17">
        <f t="shared" si="12"/>
        <v>40</v>
      </c>
      <c r="C25" s="5">
        <v>119.992</v>
      </c>
      <c r="D25" s="3">
        <v>123.898</v>
      </c>
      <c r="E25" s="3">
        <f t="shared" si="5"/>
        <v>116.11000000000001</v>
      </c>
      <c r="F25" s="25">
        <f>360-(116.074+D25+C25)</f>
        <v>3.6000000000001364E-2</v>
      </c>
      <c r="G25" s="30">
        <v>1.347</v>
      </c>
      <c r="H25" s="9">
        <v>1.929</v>
      </c>
      <c r="I25" s="9">
        <v>0.31</v>
      </c>
      <c r="J25" s="9">
        <v>179.75899999999999</v>
      </c>
      <c r="K25" s="21">
        <v>177.52</v>
      </c>
      <c r="L25" s="3">
        <f t="shared" si="0"/>
        <v>-177.82999999999998</v>
      </c>
      <c r="M25" s="3">
        <f t="shared" si="6"/>
        <v>2.1700000000000159</v>
      </c>
      <c r="N25" s="3">
        <f t="shared" si="7"/>
        <v>2.1700000000000159</v>
      </c>
      <c r="O25" s="27">
        <f t="shared" si="8"/>
        <v>2.1700000000000159</v>
      </c>
      <c r="P25" s="17">
        <f t="shared" si="1"/>
        <v>1.6450000000000149</v>
      </c>
      <c r="Q25" s="3">
        <f t="shared" si="2"/>
        <v>-179.44899999999998</v>
      </c>
      <c r="R25" s="3">
        <f t="shared" si="9"/>
        <v>0.55100000000001614</v>
      </c>
      <c r="S25" s="3">
        <f t="shared" si="10"/>
        <v>0.55100000000001614</v>
      </c>
      <c r="T25" s="27">
        <f t="shared" si="11"/>
        <v>0.55100000000001614</v>
      </c>
      <c r="U25" s="17">
        <f t="shared" si="3"/>
        <v>3.979878378378392</v>
      </c>
      <c r="V25" s="27">
        <f t="shared" si="4"/>
        <v>1.1194999999999999</v>
      </c>
    </row>
    <row r="26" spans="1:22" s="3" customFormat="1">
      <c r="A26" s="3">
        <v>-180</v>
      </c>
      <c r="B26" s="17">
        <f t="shared" si="12"/>
        <v>50</v>
      </c>
      <c r="C26" s="5">
        <v>120.51</v>
      </c>
      <c r="D26" s="3">
        <v>123.9</v>
      </c>
      <c r="E26" s="3">
        <f t="shared" si="5"/>
        <v>115.58999999999997</v>
      </c>
      <c r="F26" s="25">
        <f>360-(115.554+D26+C26)</f>
        <v>3.6000000000001364E-2</v>
      </c>
      <c r="G26" s="30">
        <v>1.3480000000000001</v>
      </c>
      <c r="H26" s="9">
        <v>2.7109999999999999</v>
      </c>
      <c r="I26" s="9">
        <v>-1.0920000000000001</v>
      </c>
      <c r="J26" s="8" t="s">
        <v>95</v>
      </c>
      <c r="K26" s="21">
        <v>178.91399999999999</v>
      </c>
      <c r="L26" s="3">
        <f t="shared" si="0"/>
        <v>182.17800000000003</v>
      </c>
      <c r="M26" s="3">
        <f t="shared" si="6"/>
        <v>362.178</v>
      </c>
      <c r="N26" s="3">
        <f t="shared" si="7"/>
        <v>2.1779999999999973</v>
      </c>
      <c r="O26" s="27">
        <f t="shared" si="8"/>
        <v>2.1779999999999973</v>
      </c>
      <c r="P26" s="17">
        <f t="shared" si="1"/>
        <v>1.6529999999999963</v>
      </c>
      <c r="Q26" s="3">
        <f t="shared" si="2"/>
        <v>178.375</v>
      </c>
      <c r="R26" s="3">
        <f t="shared" si="9"/>
        <v>358.375</v>
      </c>
      <c r="S26" s="3">
        <f t="shared" si="10"/>
        <v>358.375</v>
      </c>
      <c r="T26" s="27">
        <f t="shared" si="11"/>
        <v>-1.625</v>
      </c>
      <c r="U26" s="17">
        <f t="shared" si="3"/>
        <v>1.8038783783783758</v>
      </c>
      <c r="V26" s="27">
        <f t="shared" si="4"/>
        <v>0.80949999999999989</v>
      </c>
    </row>
    <row r="27" spans="1:22" s="3" customFormat="1">
      <c r="A27" s="3">
        <v>-180</v>
      </c>
      <c r="B27" s="17">
        <f t="shared" si="12"/>
        <v>60</v>
      </c>
      <c r="C27" s="5">
        <v>120.776</v>
      </c>
      <c r="D27" s="3">
        <v>123.922</v>
      </c>
      <c r="E27" s="3">
        <f t="shared" si="5"/>
        <v>115.30200000000002</v>
      </c>
      <c r="F27" s="25">
        <f>360-(115.285+D27+C27)</f>
        <v>1.6999999999995907E-2</v>
      </c>
      <c r="G27" s="30">
        <v>1.3480000000000001</v>
      </c>
      <c r="H27" s="9">
        <v>3.3740000000000001</v>
      </c>
      <c r="I27" s="9">
        <v>-1.1950000000000001</v>
      </c>
      <c r="J27" s="8" t="s">
        <v>85</v>
      </c>
      <c r="K27" s="21">
        <v>179.69800000000001</v>
      </c>
      <c r="L27" s="3">
        <f t="shared" si="0"/>
        <v>181.49699999999999</v>
      </c>
      <c r="M27" s="3">
        <f t="shared" si="6"/>
        <v>361.49699999999996</v>
      </c>
      <c r="N27" s="3">
        <f t="shared" si="7"/>
        <v>1.4969999999999573</v>
      </c>
      <c r="O27" s="27">
        <f t="shared" si="8"/>
        <v>1.4969999999999573</v>
      </c>
      <c r="P27" s="17">
        <f t="shared" si="1"/>
        <v>0.97199999999995623</v>
      </c>
      <c r="Q27" s="3">
        <f t="shared" si="2"/>
        <v>176.928</v>
      </c>
      <c r="R27" s="3">
        <f t="shared" si="9"/>
        <v>356.928</v>
      </c>
      <c r="S27" s="3">
        <f t="shared" si="10"/>
        <v>356.928</v>
      </c>
      <c r="T27" s="27">
        <f t="shared" si="11"/>
        <v>-3.0720000000000027</v>
      </c>
      <c r="U27" s="17">
        <f t="shared" si="3"/>
        <v>0.35687837837837311</v>
      </c>
      <c r="V27" s="27">
        <f t="shared" si="4"/>
        <v>1.0895000000000001</v>
      </c>
    </row>
    <row r="28" spans="1:22" s="3" customFormat="1">
      <c r="A28" s="3">
        <v>-180</v>
      </c>
      <c r="B28" s="17">
        <f>B27+10</f>
        <v>70</v>
      </c>
      <c r="C28" s="5">
        <v>120.982</v>
      </c>
      <c r="D28" s="3">
        <v>123.834</v>
      </c>
      <c r="E28" s="3">
        <f t="shared" si="5"/>
        <v>115.184</v>
      </c>
      <c r="F28" s="25">
        <f>360-(115.182+D28+C28)</f>
        <v>1.9999999999527063E-3</v>
      </c>
      <c r="G28" s="30">
        <v>1.3480000000000001</v>
      </c>
      <c r="H28" s="9">
        <v>3.1909999999999998</v>
      </c>
      <c r="I28" s="9">
        <v>-0.97799999999999998</v>
      </c>
      <c r="J28" s="8" t="s">
        <v>96</v>
      </c>
      <c r="K28" s="21">
        <v>179.62200000000001</v>
      </c>
      <c r="L28" s="3">
        <f t="shared" si="0"/>
        <v>180.6</v>
      </c>
      <c r="M28" s="3">
        <f t="shared" si="6"/>
        <v>360.6</v>
      </c>
      <c r="N28" s="3">
        <f t="shared" si="7"/>
        <v>0.60000000000002274</v>
      </c>
      <c r="O28" s="27">
        <f t="shared" si="8"/>
        <v>0.60000000000002274</v>
      </c>
      <c r="P28" s="17">
        <f t="shared" si="1"/>
        <v>7.5000000000021716E-2</v>
      </c>
      <c r="Q28" s="3">
        <f t="shared" si="2"/>
        <v>176.43099999999998</v>
      </c>
      <c r="R28" s="3">
        <f t="shared" si="9"/>
        <v>356.43099999999998</v>
      </c>
      <c r="S28" s="3">
        <f t="shared" si="10"/>
        <v>356.43099999999998</v>
      </c>
      <c r="T28" s="27">
        <f t="shared" si="11"/>
        <v>-3.5690000000000168</v>
      </c>
      <c r="U28" s="17">
        <f t="shared" si="3"/>
        <v>-0.14012162162164099</v>
      </c>
      <c r="V28" s="27">
        <f t="shared" si="4"/>
        <v>1.1065</v>
      </c>
    </row>
    <row r="29" spans="1:22" s="3" customFormat="1">
      <c r="A29" s="3">
        <v>-180</v>
      </c>
      <c r="B29" s="17">
        <f t="shared" si="12"/>
        <v>80</v>
      </c>
      <c r="C29" s="5">
        <v>121.008</v>
      </c>
      <c r="D29" s="3">
        <v>123.845</v>
      </c>
      <c r="E29" s="3">
        <f t="shared" si="5"/>
        <v>115.14699999999999</v>
      </c>
      <c r="F29" s="25">
        <f>360-(115.146+D29+C29)</f>
        <v>1.0000000000331966E-3</v>
      </c>
      <c r="G29" s="30">
        <v>1.347</v>
      </c>
      <c r="H29" s="9">
        <v>2.7429999999999999</v>
      </c>
      <c r="I29" s="9">
        <v>-0.25700000000000001</v>
      </c>
      <c r="J29" s="8" t="s">
        <v>97</v>
      </c>
      <c r="K29" s="21">
        <v>179.255</v>
      </c>
      <c r="L29" s="3">
        <f t="shared" si="0"/>
        <v>179.51300000000001</v>
      </c>
      <c r="M29" s="3">
        <f t="shared" si="6"/>
        <v>359.51300000000003</v>
      </c>
      <c r="N29" s="3">
        <f t="shared" si="7"/>
        <v>359.51300000000003</v>
      </c>
      <c r="O29" s="27">
        <f t="shared" si="8"/>
        <v>-0.48699999999996635</v>
      </c>
      <c r="P29" s="17">
        <f t="shared" si="1"/>
        <v>-1.0119999999999674</v>
      </c>
      <c r="Q29" s="3">
        <f t="shared" si="2"/>
        <v>176.51300000000001</v>
      </c>
      <c r="R29" s="3">
        <f t="shared" si="9"/>
        <v>356.51300000000003</v>
      </c>
      <c r="S29" s="3">
        <f t="shared" si="10"/>
        <v>356.51300000000003</v>
      </c>
      <c r="T29" s="27">
        <f t="shared" si="11"/>
        <v>-3.4869999999999663</v>
      </c>
      <c r="U29" s="17">
        <f t="shared" si="3"/>
        <v>-5.8121621621590513E-2</v>
      </c>
      <c r="V29" s="27">
        <f t="shared" si="4"/>
        <v>1.2429999999999999</v>
      </c>
    </row>
    <row r="30" spans="1:22" s="3" customFormat="1">
      <c r="A30" s="3">
        <v>-180</v>
      </c>
      <c r="B30" s="17">
        <f t="shared" si="12"/>
        <v>90</v>
      </c>
      <c r="C30" s="5">
        <v>120.8</v>
      </c>
      <c r="D30" s="3">
        <v>123.846</v>
      </c>
      <c r="E30" s="3">
        <f t="shared" si="5"/>
        <v>115.35399999999998</v>
      </c>
      <c r="F30" s="25">
        <f>360-(115.341+D30+C30)</f>
        <v>1.2999999999976808E-2</v>
      </c>
      <c r="G30" s="30">
        <v>1.3460000000000001</v>
      </c>
      <c r="H30" s="9">
        <v>1.633</v>
      </c>
      <c r="I30" s="9">
        <v>0.27600000000000002</v>
      </c>
      <c r="J30" s="8" t="s">
        <v>98</v>
      </c>
      <c r="K30" s="21">
        <v>178.97300000000001</v>
      </c>
      <c r="L30" s="3">
        <f t="shared" si="0"/>
        <v>178.697</v>
      </c>
      <c r="M30" s="3">
        <f t="shared" si="6"/>
        <v>358.697</v>
      </c>
      <c r="N30" s="3">
        <f t="shared" si="7"/>
        <v>358.697</v>
      </c>
      <c r="O30" s="27">
        <f t="shared" si="8"/>
        <v>-1.3029999999999973</v>
      </c>
      <c r="P30" s="17">
        <f t="shared" si="1"/>
        <v>-1.8279999999999983</v>
      </c>
      <c r="Q30" s="3">
        <f t="shared" si="2"/>
        <v>177.34</v>
      </c>
      <c r="R30" s="3">
        <f t="shared" si="9"/>
        <v>357.34000000000003</v>
      </c>
      <c r="S30" s="3">
        <f t="shared" si="10"/>
        <v>357.34000000000003</v>
      </c>
      <c r="T30" s="27">
        <f t="shared" si="11"/>
        <v>-2.6599999999999682</v>
      </c>
      <c r="U30" s="17">
        <f t="shared" si="3"/>
        <v>0.76887837837840767</v>
      </c>
      <c r="V30" s="27">
        <f t="shared" si="4"/>
        <v>0.95450000000000002</v>
      </c>
    </row>
    <row r="31" spans="1:22" s="3" customFormat="1">
      <c r="A31" s="3">
        <v>-180</v>
      </c>
      <c r="B31" s="17">
        <f t="shared" si="12"/>
        <v>100</v>
      </c>
      <c r="C31" s="5">
        <v>120.39</v>
      </c>
      <c r="D31" s="3">
        <v>123.93300000000001</v>
      </c>
      <c r="E31" s="3">
        <f t="shared" si="5"/>
        <v>115.67699999999999</v>
      </c>
      <c r="F31" s="25">
        <f>360-(115.647+D31+C31)</f>
        <v>2.9999999999972715E-2</v>
      </c>
      <c r="G31" s="30">
        <v>1.345</v>
      </c>
      <c r="H31" s="9">
        <v>0.90800000000000003</v>
      </c>
      <c r="I31" s="9">
        <v>0.56799999999999995</v>
      </c>
      <c r="J31" s="8" t="s">
        <v>99</v>
      </c>
      <c r="K31" s="21">
        <v>178.57300000000001</v>
      </c>
      <c r="L31" s="3">
        <f t="shared" si="0"/>
        <v>178.005</v>
      </c>
      <c r="M31" s="3">
        <f t="shared" si="6"/>
        <v>358.005</v>
      </c>
      <c r="N31" s="3">
        <f t="shared" si="7"/>
        <v>358.005</v>
      </c>
      <c r="O31" s="27">
        <f t="shared" si="8"/>
        <v>-1.9950000000000045</v>
      </c>
      <c r="P31" s="17">
        <f t="shared" si="1"/>
        <v>-2.5200000000000058</v>
      </c>
      <c r="Q31" s="3">
        <f t="shared" si="2"/>
        <v>177.66500000000002</v>
      </c>
      <c r="R31" s="3">
        <f t="shared" si="9"/>
        <v>357.66500000000002</v>
      </c>
      <c r="S31" s="3">
        <f t="shared" si="10"/>
        <v>357.66500000000002</v>
      </c>
      <c r="T31" s="27">
        <f t="shared" si="11"/>
        <v>-2.3349999999999795</v>
      </c>
      <c r="U31" s="17">
        <f t="shared" si="3"/>
        <v>1.0938783783783963</v>
      </c>
      <c r="V31" s="27">
        <f t="shared" si="4"/>
        <v>0.73799999999999999</v>
      </c>
    </row>
    <row r="32" spans="1:22" s="3" customFormat="1">
      <c r="A32" s="3">
        <v>-180</v>
      </c>
      <c r="B32" s="17">
        <f t="shared" si="12"/>
        <v>110</v>
      </c>
      <c r="C32" s="5">
        <v>120.116</v>
      </c>
      <c r="D32" s="3">
        <v>123.965</v>
      </c>
      <c r="E32" s="3">
        <f t="shared" si="5"/>
        <v>115.91899999999998</v>
      </c>
      <c r="F32" s="25">
        <f>360-(115.887+D32+C32)</f>
        <v>3.1999999999982265E-2</v>
      </c>
      <c r="G32" s="30">
        <v>1.3440000000000001</v>
      </c>
      <c r="H32" s="8" t="s">
        <v>100</v>
      </c>
      <c r="I32" s="8">
        <v>-2.5000000000000001E-2</v>
      </c>
      <c r="J32" s="8" t="s">
        <v>19</v>
      </c>
      <c r="K32" s="21">
        <v>177.929</v>
      </c>
      <c r="L32" s="3">
        <f t="shared" si="0"/>
        <v>177.95400000000001</v>
      </c>
      <c r="M32" s="3">
        <f t="shared" si="6"/>
        <v>357.95400000000001</v>
      </c>
      <c r="N32" s="3">
        <f t="shared" si="7"/>
        <v>357.95400000000001</v>
      </c>
      <c r="O32" s="27">
        <f t="shared" si="8"/>
        <v>-2.0459999999999923</v>
      </c>
      <c r="P32" s="17">
        <f t="shared" si="1"/>
        <v>-2.5709999999999935</v>
      </c>
      <c r="Q32" s="3">
        <f t="shared" si="2"/>
        <v>178.42699999999999</v>
      </c>
      <c r="R32" s="3">
        <f t="shared" si="9"/>
        <v>358.42700000000002</v>
      </c>
      <c r="S32" s="3">
        <f t="shared" si="10"/>
        <v>358.42700000000002</v>
      </c>
      <c r="T32" s="27">
        <f t="shared" si="11"/>
        <v>-1.5729999999999791</v>
      </c>
      <c r="U32" s="17">
        <f t="shared" si="3"/>
        <v>1.8558783783783968</v>
      </c>
      <c r="V32" s="27">
        <f t="shared" si="4"/>
        <v>-0.26150000000000001</v>
      </c>
    </row>
    <row r="33" spans="1:22" s="3" customFormat="1">
      <c r="A33" s="3">
        <v>-180</v>
      </c>
      <c r="B33" s="17">
        <f t="shared" si="12"/>
        <v>120</v>
      </c>
      <c r="C33" s="5">
        <v>120.099</v>
      </c>
      <c r="D33" s="3">
        <v>123.952</v>
      </c>
      <c r="E33" s="3">
        <f t="shared" si="5"/>
        <v>115.94900000000001</v>
      </c>
      <c r="F33" s="25">
        <f>360-(115.934+D33+C33)</f>
        <v>1.4999999999986358E-2</v>
      </c>
      <c r="G33" s="30">
        <v>1.343</v>
      </c>
      <c r="H33" s="8" t="s">
        <v>101</v>
      </c>
      <c r="I33" s="8">
        <v>-1.238</v>
      </c>
      <c r="J33" s="9">
        <v>179.51</v>
      </c>
      <c r="K33" s="21">
        <v>177.36</v>
      </c>
      <c r="L33" s="3">
        <f t="shared" si="0"/>
        <v>-181.40199999999999</v>
      </c>
      <c r="M33" s="3">
        <f t="shared" si="6"/>
        <v>-1.4019999999999868</v>
      </c>
      <c r="N33" s="3">
        <f t="shared" si="7"/>
        <v>358.59800000000001</v>
      </c>
      <c r="O33" s="27">
        <f t="shared" si="8"/>
        <v>-1.4019999999999868</v>
      </c>
      <c r="P33" s="17">
        <f t="shared" si="1"/>
        <v>-1.9269999999999878</v>
      </c>
      <c r="Q33" s="3">
        <f t="shared" si="2"/>
        <v>-180.74799999999999</v>
      </c>
      <c r="R33" s="3">
        <f t="shared" si="9"/>
        <v>-0.74799999999999045</v>
      </c>
      <c r="S33" s="3">
        <f t="shared" si="10"/>
        <v>359.25200000000001</v>
      </c>
      <c r="T33" s="27">
        <f t="shared" si="11"/>
        <v>-0.74799999999999045</v>
      </c>
      <c r="U33" s="17">
        <f t="shared" si="3"/>
        <v>2.6808783783783854</v>
      </c>
      <c r="V33" s="27">
        <f t="shared" si="4"/>
        <v>-1.5649999999999999</v>
      </c>
    </row>
    <row r="34" spans="1:22" s="3" customFormat="1">
      <c r="A34" s="3">
        <v>-180</v>
      </c>
      <c r="B34" s="17">
        <f t="shared" si="12"/>
        <v>130</v>
      </c>
      <c r="C34" s="5">
        <v>119.95099999999999</v>
      </c>
      <c r="D34" s="3">
        <v>124.056</v>
      </c>
      <c r="E34" s="3">
        <f t="shared" si="5"/>
        <v>115.99299999999999</v>
      </c>
      <c r="F34" s="25">
        <f>360-(115.984+D34+C34)</f>
        <v>9.0000000000145519E-3</v>
      </c>
      <c r="G34" s="30">
        <v>1.343</v>
      </c>
      <c r="H34" s="9">
        <v>1.7949999999999999</v>
      </c>
      <c r="I34" s="9">
        <v>-1.627</v>
      </c>
      <c r="J34" s="8" t="s">
        <v>102</v>
      </c>
      <c r="K34" s="21">
        <v>177.3</v>
      </c>
      <c r="L34" s="3">
        <f t="shared" si="0"/>
        <v>180.37199999999999</v>
      </c>
      <c r="M34" s="3">
        <f t="shared" si="6"/>
        <v>360.37199999999996</v>
      </c>
      <c r="N34" s="3">
        <f t="shared" si="7"/>
        <v>0.37199999999995725</v>
      </c>
      <c r="O34" s="27">
        <f t="shared" si="8"/>
        <v>0.37199999999995725</v>
      </c>
      <c r="P34" s="17">
        <f t="shared" si="1"/>
        <v>-0.15300000000004377</v>
      </c>
      <c r="Q34" s="3">
        <f t="shared" si="2"/>
        <v>176.95</v>
      </c>
      <c r="R34" s="3">
        <f t="shared" si="9"/>
        <v>356.95</v>
      </c>
      <c r="S34" s="3">
        <f t="shared" si="10"/>
        <v>356.95</v>
      </c>
      <c r="T34" s="27">
        <f t="shared" si="11"/>
        <v>-3.0500000000000114</v>
      </c>
      <c r="U34" s="17">
        <f t="shared" si="3"/>
        <v>0.37887837837836447</v>
      </c>
      <c r="V34" s="27">
        <f t="shared" si="4"/>
        <v>8.3999999999999964E-2</v>
      </c>
    </row>
    <row r="35" spans="1:22" s="3" customFormat="1">
      <c r="A35" s="3">
        <v>-180</v>
      </c>
      <c r="B35" s="17">
        <f t="shared" si="12"/>
        <v>140</v>
      </c>
      <c r="C35" s="5">
        <v>120.157</v>
      </c>
      <c r="D35" s="3">
        <v>124.026</v>
      </c>
      <c r="E35" s="3">
        <f t="shared" si="5"/>
        <v>115.81700000000001</v>
      </c>
      <c r="F35" s="25">
        <f>360-(115.817+D35+C35)</f>
        <v>0</v>
      </c>
      <c r="G35" s="30">
        <v>1.343</v>
      </c>
      <c r="H35" s="8" t="s">
        <v>103</v>
      </c>
      <c r="I35" s="8">
        <v>-3.1419999999999999</v>
      </c>
      <c r="J35" s="9">
        <v>177.38399999999999</v>
      </c>
      <c r="K35" s="21">
        <v>176.68799999999999</v>
      </c>
      <c r="L35" s="3">
        <f t="shared" si="0"/>
        <v>-180.17</v>
      </c>
      <c r="M35" s="3">
        <f t="shared" si="6"/>
        <v>-0.16999999999998749</v>
      </c>
      <c r="N35" s="3">
        <f t="shared" si="7"/>
        <v>359.83000000000004</v>
      </c>
      <c r="O35" s="27">
        <f t="shared" si="8"/>
        <v>-0.16999999999995907</v>
      </c>
      <c r="P35" s="17">
        <f t="shared" si="1"/>
        <v>-0.69499999999996009</v>
      </c>
      <c r="Q35" s="3">
        <f t="shared" si="2"/>
        <v>-180.52599999999998</v>
      </c>
      <c r="R35" s="3">
        <f t="shared" si="9"/>
        <v>-0.52599999999998204</v>
      </c>
      <c r="S35" s="3">
        <f t="shared" si="10"/>
        <v>359.47400000000005</v>
      </c>
      <c r="T35" s="27">
        <f t="shared" si="11"/>
        <v>-0.52599999999995362</v>
      </c>
      <c r="U35" s="17">
        <f t="shared" si="3"/>
        <v>2.9028783783784222</v>
      </c>
      <c r="V35" s="27">
        <f t="shared" si="4"/>
        <v>-2.964</v>
      </c>
    </row>
    <row r="36" spans="1:22" s="3" customFormat="1">
      <c r="A36" s="3">
        <v>-180</v>
      </c>
      <c r="B36" s="17">
        <f t="shared" si="12"/>
        <v>150</v>
      </c>
      <c r="C36" s="5">
        <v>120.425</v>
      </c>
      <c r="D36" s="3">
        <v>124.03400000000001</v>
      </c>
      <c r="E36" s="3">
        <f t="shared" si="5"/>
        <v>115.541</v>
      </c>
      <c r="F36" s="25">
        <f>360-(115.539+D36+C36)</f>
        <v>2.0000000000095497E-3</v>
      </c>
      <c r="G36" s="30">
        <v>1.343</v>
      </c>
      <c r="H36" s="8" t="s">
        <v>104</v>
      </c>
      <c r="I36" s="8">
        <v>-3.9049999999999998</v>
      </c>
      <c r="J36" s="9">
        <v>177.631</v>
      </c>
      <c r="K36" s="21">
        <v>176.55099999999999</v>
      </c>
      <c r="L36" s="3">
        <f t="shared" si="0"/>
        <v>-179.54499999999999</v>
      </c>
      <c r="M36" s="3">
        <f t="shared" si="6"/>
        <v>0.45500000000001251</v>
      </c>
      <c r="N36" s="3">
        <f t="shared" si="7"/>
        <v>0.45500000000001251</v>
      </c>
      <c r="O36" s="27">
        <f t="shared" si="8"/>
        <v>0.45500000000001251</v>
      </c>
      <c r="P36" s="17">
        <f t="shared" si="1"/>
        <v>-6.9999999999988516E-2</v>
      </c>
      <c r="Q36" s="3">
        <f t="shared" si="2"/>
        <v>-181.536</v>
      </c>
      <c r="R36" s="3">
        <f t="shared" si="9"/>
        <v>-1.5360000000000014</v>
      </c>
      <c r="S36" s="3">
        <f t="shared" si="10"/>
        <v>358.464</v>
      </c>
      <c r="T36" s="27">
        <f t="shared" si="11"/>
        <v>-1.5360000000000014</v>
      </c>
      <c r="U36" s="17">
        <f t="shared" si="3"/>
        <v>1.8928783783783745</v>
      </c>
      <c r="V36" s="27">
        <f t="shared" si="4"/>
        <v>-2.9095</v>
      </c>
    </row>
    <row r="37" spans="1:22" s="3" customFormat="1">
      <c r="A37" s="3">
        <v>-180</v>
      </c>
      <c r="B37" s="17">
        <f t="shared" si="12"/>
        <v>160</v>
      </c>
      <c r="C37" s="5">
        <v>120.71</v>
      </c>
      <c r="D37" s="3">
        <v>124.026</v>
      </c>
      <c r="E37" s="3">
        <f t="shared" si="5"/>
        <v>115.26400000000001</v>
      </c>
      <c r="F37" s="25">
        <f>360-(115.258+D37+C37)</f>
        <v>6.0000000000286491E-3</v>
      </c>
      <c r="G37" s="30">
        <v>1.343</v>
      </c>
      <c r="H37" s="8" t="s">
        <v>105</v>
      </c>
      <c r="I37" s="8">
        <v>-3.9510000000000001</v>
      </c>
      <c r="J37" s="9">
        <v>177.73599999999999</v>
      </c>
      <c r="K37" s="21">
        <v>176.89699999999999</v>
      </c>
      <c r="L37" s="3">
        <f t="shared" si="0"/>
        <v>-179.15199999999999</v>
      </c>
      <c r="M37" s="3">
        <f t="shared" si="6"/>
        <v>0.84800000000001319</v>
      </c>
      <c r="N37" s="3">
        <f t="shared" si="7"/>
        <v>0.84800000000001319</v>
      </c>
      <c r="O37" s="27">
        <f t="shared" si="8"/>
        <v>0.84800000000001319</v>
      </c>
      <c r="P37" s="17">
        <f t="shared" si="1"/>
        <v>0.32300000000001217</v>
      </c>
      <c r="Q37" s="3">
        <f t="shared" si="2"/>
        <v>-181.68699999999998</v>
      </c>
      <c r="R37" s="3">
        <f t="shared" si="9"/>
        <v>-1.6869999999999834</v>
      </c>
      <c r="S37" s="3">
        <f t="shared" si="10"/>
        <v>358.31299999999999</v>
      </c>
      <c r="T37" s="27">
        <f t="shared" si="11"/>
        <v>-1.6870000000000118</v>
      </c>
      <c r="U37" s="17">
        <f t="shared" si="3"/>
        <v>1.741878378378364</v>
      </c>
      <c r="V37" s="27">
        <f t="shared" si="4"/>
        <v>-2.6835</v>
      </c>
    </row>
    <row r="38" spans="1:22" s="3" customFormat="1">
      <c r="A38" s="3">
        <v>-180</v>
      </c>
      <c r="B38" s="17">
        <f>B37+10</f>
        <v>170</v>
      </c>
      <c r="C38" s="5">
        <v>120.92</v>
      </c>
      <c r="D38" s="3">
        <v>124.054</v>
      </c>
      <c r="E38" s="3">
        <f t="shared" si="5"/>
        <v>115.02600000000001</v>
      </c>
      <c r="F38" s="25">
        <f>360-(115.019+D38+C38)</f>
        <v>7.0000000000050022E-3</v>
      </c>
      <c r="G38" s="30">
        <v>1.343</v>
      </c>
      <c r="H38" s="8" t="s">
        <v>106</v>
      </c>
      <c r="I38" s="8">
        <v>-3.4780000000000002</v>
      </c>
      <c r="J38" s="9">
        <v>178.26900000000001</v>
      </c>
      <c r="K38" s="21">
        <v>177.46799999999999</v>
      </c>
      <c r="L38" s="3">
        <f t="shared" si="0"/>
        <v>-179.054</v>
      </c>
      <c r="M38" s="3">
        <f t="shared" si="6"/>
        <v>0.94599999999999795</v>
      </c>
      <c r="N38" s="3">
        <f t="shared" si="7"/>
        <v>0.94599999999999795</v>
      </c>
      <c r="O38" s="27">
        <f t="shared" si="8"/>
        <v>0.94599999999999795</v>
      </c>
      <c r="P38" s="17">
        <f t="shared" si="1"/>
        <v>0.42099999999999693</v>
      </c>
      <c r="Q38" s="3">
        <f t="shared" si="2"/>
        <v>-181.74700000000001</v>
      </c>
      <c r="R38" s="3">
        <f t="shared" si="9"/>
        <v>-1.7470000000000141</v>
      </c>
      <c r="S38" s="3">
        <f t="shared" si="10"/>
        <v>358.25299999999999</v>
      </c>
      <c r="T38" s="27">
        <f t="shared" si="11"/>
        <v>-1.7470000000000141</v>
      </c>
      <c r="U38" s="17">
        <f t="shared" si="3"/>
        <v>1.6818783783783617</v>
      </c>
      <c r="V38" s="27">
        <f t="shared" si="4"/>
        <v>-2.1315</v>
      </c>
    </row>
    <row r="39" spans="1:22" s="11" customFormat="1" ht="19" thickBot="1">
      <c r="A39" s="11">
        <v>-180</v>
      </c>
      <c r="B39" s="18">
        <f t="shared" si="12"/>
        <v>180</v>
      </c>
      <c r="C39" s="11">
        <v>121.005</v>
      </c>
      <c r="D39" s="11">
        <v>124.026</v>
      </c>
      <c r="E39" s="11">
        <f t="shared" si="5"/>
        <v>114.96899999999999</v>
      </c>
      <c r="F39" s="26">
        <f>360-(114.966+D39+C39)</f>
        <v>3.0000000000427463E-3</v>
      </c>
      <c r="G39" s="31">
        <v>1.343</v>
      </c>
      <c r="H39" s="13">
        <v>1.3879999999999999</v>
      </c>
      <c r="I39" s="13">
        <v>-2.403</v>
      </c>
      <c r="J39" s="12" t="s">
        <v>75</v>
      </c>
      <c r="K39" s="22">
        <v>178.137</v>
      </c>
      <c r="L39" s="11">
        <f t="shared" si="0"/>
        <v>180.53900000000002</v>
      </c>
      <c r="M39" s="11">
        <f t="shared" si="6"/>
        <v>360.53899999999999</v>
      </c>
      <c r="N39" s="11">
        <f t="shared" si="7"/>
        <v>0.53899999999998727</v>
      </c>
      <c r="O39" s="28">
        <f t="shared" si="8"/>
        <v>0.53899999999998727</v>
      </c>
      <c r="P39" s="18">
        <f t="shared" si="1"/>
        <v>1.3999999999986246E-2</v>
      </c>
      <c r="Q39" s="11">
        <f t="shared" si="2"/>
        <v>176.74800000000002</v>
      </c>
      <c r="R39" s="11">
        <f t="shared" si="9"/>
        <v>356.74800000000005</v>
      </c>
      <c r="S39" s="11">
        <f t="shared" si="10"/>
        <v>356.74800000000005</v>
      </c>
      <c r="T39" s="28">
        <f t="shared" si="11"/>
        <v>-3.2519999999999527</v>
      </c>
      <c r="U39" s="18">
        <f t="shared" si="3"/>
        <v>0.17687837837842313</v>
      </c>
      <c r="V39" s="28">
        <f t="shared" si="4"/>
        <v>-0.50750000000000006</v>
      </c>
    </row>
    <row r="40" spans="1:22" s="5" customFormat="1" ht="19" thickTop="1">
      <c r="A40" s="5">
        <v>-150</v>
      </c>
      <c r="B40" s="17">
        <v>-180</v>
      </c>
      <c r="C40" s="5">
        <v>121.065</v>
      </c>
      <c r="D40" s="5">
        <v>124.03</v>
      </c>
      <c r="E40" s="5">
        <f t="shared" si="5"/>
        <v>114.905</v>
      </c>
      <c r="F40" s="25">
        <f>360-(114.885+D40+C40)</f>
        <v>1.999999999998181E-2</v>
      </c>
      <c r="G40" s="30">
        <v>1.343</v>
      </c>
      <c r="H40" s="7">
        <v>2.5960000000000001</v>
      </c>
      <c r="I40" s="7">
        <v>-3.9239999999999999</v>
      </c>
      <c r="J40" s="6" t="s">
        <v>43</v>
      </c>
      <c r="K40" s="21">
        <v>177.61199999999999</v>
      </c>
      <c r="L40" s="3">
        <f t="shared" si="0"/>
        <v>181.57599999999999</v>
      </c>
      <c r="M40" s="3">
        <f t="shared" si="6"/>
        <v>361.57600000000002</v>
      </c>
      <c r="N40" s="3">
        <f t="shared" si="7"/>
        <v>1.5760000000000218</v>
      </c>
      <c r="O40" s="27">
        <f t="shared" si="8"/>
        <v>1.5760000000000218</v>
      </c>
      <c r="P40" s="17">
        <f t="shared" si="1"/>
        <v>1.0510000000000208</v>
      </c>
      <c r="Q40" s="3">
        <f t="shared" si="2"/>
        <v>175.05599999999998</v>
      </c>
      <c r="R40" s="3">
        <f t="shared" si="9"/>
        <v>355.05599999999998</v>
      </c>
      <c r="S40" s="3">
        <f t="shared" si="10"/>
        <v>355.05599999999998</v>
      </c>
      <c r="T40" s="27">
        <f t="shared" si="11"/>
        <v>-4.9440000000000168</v>
      </c>
      <c r="U40" s="17">
        <f t="shared" si="3"/>
        <v>-1.515121621621641</v>
      </c>
      <c r="V40" s="27">
        <f t="shared" si="4"/>
        <v>-0.66399999999999992</v>
      </c>
    </row>
    <row r="41" spans="1:22" s="5" customFormat="1">
      <c r="A41" s="5">
        <v>-150</v>
      </c>
      <c r="B41" s="17">
        <f>B40+10</f>
        <v>-170</v>
      </c>
      <c r="C41" s="5">
        <v>121.093</v>
      </c>
      <c r="D41" s="5">
        <v>124.08799999999999</v>
      </c>
      <c r="E41" s="5">
        <f t="shared" si="5"/>
        <v>114.81900000000002</v>
      </c>
      <c r="F41" s="25">
        <f>360-(114.809+D41+C41)</f>
        <v>9.9999999999909051E-3</v>
      </c>
      <c r="G41" s="30">
        <v>1.3440000000000001</v>
      </c>
      <c r="H41" s="7">
        <v>3.8839999999999999</v>
      </c>
      <c r="I41" s="7">
        <v>-2.3119999999999998</v>
      </c>
      <c r="J41" s="6" t="s">
        <v>74</v>
      </c>
      <c r="K41" s="21">
        <v>178.804</v>
      </c>
      <c r="L41" s="3">
        <f t="shared" si="0"/>
        <v>181.11499999999998</v>
      </c>
      <c r="M41" s="3">
        <f t="shared" si="6"/>
        <v>361.11500000000001</v>
      </c>
      <c r="N41" s="3">
        <f t="shared" si="7"/>
        <v>1.1150000000000091</v>
      </c>
      <c r="O41" s="27">
        <f t="shared" si="8"/>
        <v>1.1150000000000091</v>
      </c>
      <c r="P41" s="17">
        <f t="shared" si="1"/>
        <v>0.59000000000000807</v>
      </c>
      <c r="Q41" s="3">
        <f t="shared" si="2"/>
        <v>174.91899999999998</v>
      </c>
      <c r="R41" s="3">
        <f t="shared" si="9"/>
        <v>354.91899999999998</v>
      </c>
      <c r="S41" s="3">
        <f t="shared" si="10"/>
        <v>354.91899999999998</v>
      </c>
      <c r="T41" s="27">
        <f t="shared" si="11"/>
        <v>-5.0810000000000173</v>
      </c>
      <c r="U41" s="17">
        <f t="shared" si="3"/>
        <v>-1.6521216216216414</v>
      </c>
      <c r="V41" s="27">
        <f t="shared" si="4"/>
        <v>0.78600000000000003</v>
      </c>
    </row>
    <row r="42" spans="1:22" s="5" customFormat="1">
      <c r="A42" s="5">
        <v>-150</v>
      </c>
      <c r="B42" s="17">
        <f t="shared" ref="B42:B76" si="13">B41+10</f>
        <v>-160</v>
      </c>
      <c r="C42" s="5">
        <v>121.06399999999999</v>
      </c>
      <c r="D42" s="5">
        <v>124.06100000000001</v>
      </c>
      <c r="E42" s="5">
        <f t="shared" si="5"/>
        <v>114.875</v>
      </c>
      <c r="F42" s="25">
        <f>360-(114.866+D42+C42)</f>
        <v>9.0000000000145519E-3</v>
      </c>
      <c r="G42" s="30">
        <v>1.3440000000000001</v>
      </c>
      <c r="H42" s="7">
        <v>5.2279999999999998</v>
      </c>
      <c r="I42" s="7">
        <v>-2.097</v>
      </c>
      <c r="J42" s="6" t="s">
        <v>73</v>
      </c>
      <c r="K42" s="21">
        <v>178.983</v>
      </c>
      <c r="L42" s="3">
        <f t="shared" si="0"/>
        <v>181.08100000000002</v>
      </c>
      <c r="M42" s="3">
        <f t="shared" si="6"/>
        <v>361.08100000000002</v>
      </c>
      <c r="N42" s="3">
        <f t="shared" si="7"/>
        <v>1.0810000000000173</v>
      </c>
      <c r="O42" s="27">
        <f t="shared" si="8"/>
        <v>1.0810000000000173</v>
      </c>
      <c r="P42" s="17">
        <f t="shared" si="1"/>
        <v>0.55600000000001626</v>
      </c>
      <c r="Q42" s="3">
        <f t="shared" si="2"/>
        <v>173.756</v>
      </c>
      <c r="R42" s="3">
        <f t="shared" si="9"/>
        <v>353.75599999999997</v>
      </c>
      <c r="S42" s="3">
        <f t="shared" si="10"/>
        <v>353.75599999999997</v>
      </c>
      <c r="T42" s="27">
        <f t="shared" si="11"/>
        <v>-6.2440000000000282</v>
      </c>
      <c r="U42" s="17">
        <f t="shared" si="3"/>
        <v>-2.8151216216216524</v>
      </c>
      <c r="V42" s="27">
        <f t="shared" si="4"/>
        <v>1.5654999999999999</v>
      </c>
    </row>
    <row r="43" spans="1:22" s="5" customFormat="1">
      <c r="A43" s="5">
        <v>-150</v>
      </c>
      <c r="B43" s="17">
        <f t="shared" si="13"/>
        <v>-150</v>
      </c>
      <c r="C43" s="5">
        <v>120.968</v>
      </c>
      <c r="D43" s="5">
        <v>123.967</v>
      </c>
      <c r="E43" s="5">
        <f t="shared" si="5"/>
        <v>115.065</v>
      </c>
      <c r="F43" s="25">
        <f>360-(115.056+D43+C43)</f>
        <v>9.0000000000145519E-3</v>
      </c>
      <c r="G43" s="30">
        <v>1.345</v>
      </c>
      <c r="H43" s="7">
        <v>6.3460000000000001</v>
      </c>
      <c r="I43" s="7">
        <v>-1.802</v>
      </c>
      <c r="J43" s="6" t="s">
        <v>72</v>
      </c>
      <c r="K43" s="21">
        <v>179.24799999999999</v>
      </c>
      <c r="L43" s="3">
        <f t="shared" si="0"/>
        <v>181.04900000000001</v>
      </c>
      <c r="M43" s="3">
        <f t="shared" si="6"/>
        <v>361.04899999999998</v>
      </c>
      <c r="N43" s="3">
        <f t="shared" si="7"/>
        <v>1.0489999999999782</v>
      </c>
      <c r="O43" s="27">
        <f t="shared" si="8"/>
        <v>1.0489999999999782</v>
      </c>
      <c r="P43" s="17">
        <f t="shared" si="1"/>
        <v>0.52399999999997715</v>
      </c>
      <c r="Q43" s="3">
        <f t="shared" si="2"/>
        <v>172.90100000000001</v>
      </c>
      <c r="R43" s="3">
        <f t="shared" si="9"/>
        <v>352.90100000000001</v>
      </c>
      <c r="S43" s="3">
        <f t="shared" si="10"/>
        <v>352.90100000000001</v>
      </c>
      <c r="T43" s="27">
        <f t="shared" si="11"/>
        <v>-7.0989999999999895</v>
      </c>
      <c r="U43" s="17">
        <f t="shared" si="3"/>
        <v>-3.6701216216216137</v>
      </c>
      <c r="V43" s="27">
        <f t="shared" si="4"/>
        <v>2.2720000000000002</v>
      </c>
    </row>
    <row r="44" spans="1:22" s="5" customFormat="1">
      <c r="A44" s="5">
        <v>-150</v>
      </c>
      <c r="B44" s="17">
        <f t="shared" si="13"/>
        <v>-140</v>
      </c>
      <c r="C44" s="5">
        <v>120.90300000000001</v>
      </c>
      <c r="D44" s="5">
        <v>123.85899999999999</v>
      </c>
      <c r="E44" s="5">
        <f t="shared" si="5"/>
        <v>115.238</v>
      </c>
      <c r="F44" s="25">
        <f>360-(115.23+D44+C44)</f>
        <v>7.9999999999813554E-3</v>
      </c>
      <c r="G44" s="30">
        <v>1.345</v>
      </c>
      <c r="H44" s="7">
        <v>6.2910000000000004</v>
      </c>
      <c r="I44" s="7">
        <v>-1.792</v>
      </c>
      <c r="J44" s="6" t="s">
        <v>71</v>
      </c>
      <c r="K44" s="21">
        <v>179.23099999999999</v>
      </c>
      <c r="L44" s="3">
        <f t="shared" si="0"/>
        <v>181.023</v>
      </c>
      <c r="M44" s="3">
        <f t="shared" si="6"/>
        <v>361.02300000000002</v>
      </c>
      <c r="N44" s="3">
        <f t="shared" si="7"/>
        <v>1.0230000000000246</v>
      </c>
      <c r="O44" s="27">
        <f t="shared" si="8"/>
        <v>1.0230000000000246</v>
      </c>
      <c r="P44" s="17">
        <f t="shared" si="1"/>
        <v>0.49800000000002353</v>
      </c>
      <c r="Q44" s="3">
        <f t="shared" si="2"/>
        <v>172.94</v>
      </c>
      <c r="R44" s="3">
        <f t="shared" si="9"/>
        <v>352.94</v>
      </c>
      <c r="S44" s="3">
        <f t="shared" si="10"/>
        <v>352.94</v>
      </c>
      <c r="T44" s="27">
        <f t="shared" si="11"/>
        <v>-7.0600000000000023</v>
      </c>
      <c r="U44" s="17">
        <f t="shared" si="3"/>
        <v>-3.6311216216216264</v>
      </c>
      <c r="V44" s="27">
        <f t="shared" si="4"/>
        <v>2.2495000000000003</v>
      </c>
    </row>
    <row r="45" spans="1:22" s="5" customFormat="1">
      <c r="A45" s="5">
        <v>-150</v>
      </c>
      <c r="B45" s="17">
        <f t="shared" si="13"/>
        <v>-130</v>
      </c>
      <c r="C45" s="5">
        <v>121.03100000000001</v>
      </c>
      <c r="D45" s="5">
        <v>123.952</v>
      </c>
      <c r="E45" s="5">
        <f t="shared" si="5"/>
        <v>115.017</v>
      </c>
      <c r="F45" s="25">
        <f>360-(115.017+D45+C45)</f>
        <v>0</v>
      </c>
      <c r="G45" s="30">
        <v>1.3460000000000001</v>
      </c>
      <c r="H45" s="7">
        <v>4.9630000000000001</v>
      </c>
      <c r="I45" s="7">
        <v>-0.41699999999999998</v>
      </c>
      <c r="J45" s="6" t="s">
        <v>70</v>
      </c>
      <c r="K45" s="21">
        <v>179.82599999999999</v>
      </c>
      <c r="L45" s="3">
        <f t="shared" si="0"/>
        <v>180.24299999999999</v>
      </c>
      <c r="M45" s="3">
        <f t="shared" si="6"/>
        <v>360.24299999999999</v>
      </c>
      <c r="N45" s="3">
        <f t="shared" si="7"/>
        <v>0.242999999999995</v>
      </c>
      <c r="O45" s="27">
        <f t="shared" si="8"/>
        <v>0.242999999999995</v>
      </c>
      <c r="P45" s="17">
        <f t="shared" si="1"/>
        <v>-0.28200000000000602</v>
      </c>
      <c r="Q45" s="3">
        <f t="shared" si="2"/>
        <v>174.863</v>
      </c>
      <c r="R45" s="3">
        <f t="shared" si="9"/>
        <v>354.863</v>
      </c>
      <c r="S45" s="3">
        <f t="shared" si="10"/>
        <v>354.863</v>
      </c>
      <c r="T45" s="27">
        <f t="shared" si="11"/>
        <v>-5.1370000000000005</v>
      </c>
      <c r="U45" s="17">
        <f t="shared" si="3"/>
        <v>-1.7081216216216246</v>
      </c>
      <c r="V45" s="27">
        <f t="shared" si="4"/>
        <v>2.2730000000000001</v>
      </c>
    </row>
    <row r="46" spans="1:22" s="5" customFormat="1">
      <c r="A46" s="5">
        <v>-150</v>
      </c>
      <c r="B46" s="17">
        <f t="shared" si="13"/>
        <v>-120</v>
      </c>
      <c r="C46" s="5">
        <v>120.964</v>
      </c>
      <c r="D46" s="5">
        <v>123.815</v>
      </c>
      <c r="E46" s="5">
        <f t="shared" si="5"/>
        <v>115.221</v>
      </c>
      <c r="F46" s="25">
        <f>360-(115.214+D46+C46)</f>
        <v>7.0000000000050022E-3</v>
      </c>
      <c r="G46" s="30">
        <v>1.3460000000000001</v>
      </c>
      <c r="H46" s="7">
        <v>4.0060000000000002</v>
      </c>
      <c r="I46" s="7">
        <v>-2.3250000000000002</v>
      </c>
      <c r="J46" s="6" t="s">
        <v>69</v>
      </c>
      <c r="K46" s="21">
        <v>178.62200000000001</v>
      </c>
      <c r="L46" s="3">
        <f t="shared" si="0"/>
        <v>180.94800000000001</v>
      </c>
      <c r="M46" s="3">
        <f t="shared" si="6"/>
        <v>360.94799999999998</v>
      </c>
      <c r="N46" s="3">
        <f t="shared" si="7"/>
        <v>0.94799999999997908</v>
      </c>
      <c r="O46" s="27">
        <f t="shared" si="8"/>
        <v>0.94799999999997908</v>
      </c>
      <c r="P46" s="17">
        <f t="shared" si="1"/>
        <v>0.42299999999997806</v>
      </c>
      <c r="Q46" s="3">
        <f t="shared" si="2"/>
        <v>174.61700000000002</v>
      </c>
      <c r="R46" s="3">
        <f t="shared" si="9"/>
        <v>354.61700000000002</v>
      </c>
      <c r="S46" s="3">
        <f t="shared" si="10"/>
        <v>354.61700000000002</v>
      </c>
      <c r="T46" s="27">
        <f t="shared" si="11"/>
        <v>-5.3829999999999814</v>
      </c>
      <c r="U46" s="17">
        <f t="shared" si="3"/>
        <v>-1.9541216216216055</v>
      </c>
      <c r="V46" s="27">
        <f t="shared" si="4"/>
        <v>0.84050000000000002</v>
      </c>
    </row>
    <row r="47" spans="1:22" s="5" customFormat="1">
      <c r="A47" s="5">
        <v>-150</v>
      </c>
      <c r="B47" s="17">
        <f t="shared" si="13"/>
        <v>-110</v>
      </c>
      <c r="C47" s="5">
        <v>120.88200000000001</v>
      </c>
      <c r="D47" s="5">
        <v>123.724</v>
      </c>
      <c r="E47" s="5">
        <f t="shared" si="5"/>
        <v>115.39400000000001</v>
      </c>
      <c r="F47" s="25">
        <f>360-(115.372+D47+C47)</f>
        <v>2.199999999999136E-2</v>
      </c>
      <c r="G47" s="30">
        <v>1.347</v>
      </c>
      <c r="H47" s="7">
        <v>2.9910000000000001</v>
      </c>
      <c r="I47" s="7">
        <v>-3.8580000000000001</v>
      </c>
      <c r="J47" s="6" t="s">
        <v>68</v>
      </c>
      <c r="K47" s="21">
        <v>177.82599999999999</v>
      </c>
      <c r="L47" s="3">
        <f t="shared" si="0"/>
        <v>181.68400000000003</v>
      </c>
      <c r="M47" s="3">
        <f t="shared" si="6"/>
        <v>361.68400000000003</v>
      </c>
      <c r="N47" s="3">
        <f t="shared" si="7"/>
        <v>1.6840000000000259</v>
      </c>
      <c r="O47" s="27">
        <f t="shared" si="8"/>
        <v>1.6840000000000259</v>
      </c>
      <c r="P47" s="17">
        <f t="shared" si="1"/>
        <v>1.1590000000000249</v>
      </c>
      <c r="Q47" s="3">
        <f t="shared" si="2"/>
        <v>174.83500000000001</v>
      </c>
      <c r="R47" s="3">
        <f t="shared" si="9"/>
        <v>354.83500000000004</v>
      </c>
      <c r="S47" s="3">
        <f t="shared" si="10"/>
        <v>354.83500000000004</v>
      </c>
      <c r="T47" s="27">
        <f t="shared" si="11"/>
        <v>-5.1649999999999636</v>
      </c>
      <c r="U47" s="17">
        <f t="shared" si="3"/>
        <v>-1.7361216216215878</v>
      </c>
      <c r="V47" s="27">
        <f t="shared" si="4"/>
        <v>-0.4335</v>
      </c>
    </row>
    <row r="48" spans="1:22" s="5" customFormat="1">
      <c r="A48" s="5">
        <v>-150</v>
      </c>
      <c r="B48" s="17">
        <f t="shared" si="13"/>
        <v>-100</v>
      </c>
      <c r="C48" s="5">
        <v>120.971</v>
      </c>
      <c r="D48" s="5">
        <v>123.754</v>
      </c>
      <c r="E48" s="5">
        <f t="shared" si="5"/>
        <v>115.27499999999998</v>
      </c>
      <c r="F48" s="25">
        <f>360-(115.238+D48+C48)</f>
        <v>3.6999999999977717E-2</v>
      </c>
      <c r="G48" s="30">
        <v>1.347</v>
      </c>
      <c r="H48" s="7">
        <v>1.964</v>
      </c>
      <c r="I48" s="7">
        <v>-5.0999999999999996</v>
      </c>
      <c r="J48" s="7">
        <v>179.768</v>
      </c>
      <c r="K48" s="21">
        <v>177.096</v>
      </c>
      <c r="L48" s="3">
        <f t="shared" si="0"/>
        <v>-177.804</v>
      </c>
      <c r="M48" s="3">
        <f t="shared" si="6"/>
        <v>2.195999999999998</v>
      </c>
      <c r="N48" s="3">
        <f t="shared" si="7"/>
        <v>2.195999999999998</v>
      </c>
      <c r="O48" s="27">
        <f t="shared" si="8"/>
        <v>2.195999999999998</v>
      </c>
      <c r="P48" s="17">
        <f t="shared" si="1"/>
        <v>1.6709999999999969</v>
      </c>
      <c r="Q48" s="3">
        <f t="shared" si="2"/>
        <v>-184.86799999999999</v>
      </c>
      <c r="R48" s="3">
        <f t="shared" si="9"/>
        <v>-4.867999999999995</v>
      </c>
      <c r="S48" s="3">
        <f t="shared" si="10"/>
        <v>355.13200000000001</v>
      </c>
      <c r="T48" s="27">
        <f t="shared" si="11"/>
        <v>-4.867999999999995</v>
      </c>
      <c r="U48" s="17">
        <f t="shared" si="3"/>
        <v>-1.4391216216216192</v>
      </c>
      <c r="V48" s="27">
        <f t="shared" si="4"/>
        <v>-1.5679999999999998</v>
      </c>
    </row>
    <row r="49" spans="1:22" s="5" customFormat="1">
      <c r="A49" s="5">
        <v>-150</v>
      </c>
      <c r="B49" s="17">
        <f t="shared" si="13"/>
        <v>-90</v>
      </c>
      <c r="C49" s="5">
        <v>121.145</v>
      </c>
      <c r="D49" s="5">
        <v>123.74</v>
      </c>
      <c r="E49" s="5">
        <f t="shared" si="5"/>
        <v>115.11500000000001</v>
      </c>
      <c r="F49" s="25">
        <f>360-(115.061+D49+C49)</f>
        <v>5.4000000000030468E-2</v>
      </c>
      <c r="G49" s="30">
        <v>1.3480000000000001</v>
      </c>
      <c r="H49" s="7">
        <v>1.5329999999999999</v>
      </c>
      <c r="I49" s="7">
        <v>-7.1509999999999998</v>
      </c>
      <c r="J49" s="7">
        <v>178.87899999999999</v>
      </c>
      <c r="K49" s="21">
        <v>175.50299999999999</v>
      </c>
      <c r="L49" s="3">
        <f t="shared" si="0"/>
        <v>-177.346</v>
      </c>
      <c r="M49" s="3">
        <f t="shared" si="6"/>
        <v>2.6539999999999964</v>
      </c>
      <c r="N49" s="3">
        <f t="shared" si="7"/>
        <v>2.6539999999999964</v>
      </c>
      <c r="O49" s="27">
        <f t="shared" si="8"/>
        <v>2.6539999999999964</v>
      </c>
      <c r="P49" s="17">
        <f t="shared" si="1"/>
        <v>2.1289999999999951</v>
      </c>
      <c r="Q49" s="3">
        <f t="shared" si="2"/>
        <v>-186.03</v>
      </c>
      <c r="R49" s="3">
        <f t="shared" si="9"/>
        <v>-6.0300000000000011</v>
      </c>
      <c r="S49" s="3">
        <f t="shared" si="10"/>
        <v>353.97</v>
      </c>
      <c r="T49" s="27">
        <f t="shared" si="11"/>
        <v>-6.0299999999999727</v>
      </c>
      <c r="U49" s="17">
        <f t="shared" si="3"/>
        <v>-2.6011216216215969</v>
      </c>
      <c r="V49" s="27">
        <f t="shared" si="4"/>
        <v>-2.8090000000000002</v>
      </c>
    </row>
    <row r="50" spans="1:22" s="5" customFormat="1">
      <c r="A50" s="5">
        <v>-150</v>
      </c>
      <c r="B50" s="17">
        <f t="shared" si="13"/>
        <v>-80</v>
      </c>
      <c r="C50" s="5">
        <v>121.249</v>
      </c>
      <c r="D50" s="5">
        <v>123.726</v>
      </c>
      <c r="E50" s="5">
        <f t="shared" si="5"/>
        <v>115.02500000000001</v>
      </c>
      <c r="F50" s="25">
        <f>360-(114.971+D50+C50)</f>
        <v>5.3999999999973625E-2</v>
      </c>
      <c r="G50" s="30">
        <v>1.349</v>
      </c>
      <c r="H50" s="7">
        <v>0.48399999999999999</v>
      </c>
      <c r="I50" s="7">
        <v>-8.2910000000000004</v>
      </c>
      <c r="J50" s="7">
        <v>177.84899999999999</v>
      </c>
      <c r="K50" s="21">
        <v>174.34399999999999</v>
      </c>
      <c r="L50" s="3">
        <f t="shared" si="0"/>
        <v>-177.36499999999998</v>
      </c>
      <c r="M50" s="3">
        <f t="shared" si="6"/>
        <v>2.6350000000000193</v>
      </c>
      <c r="N50" s="3">
        <f t="shared" si="7"/>
        <v>2.6350000000000193</v>
      </c>
      <c r="O50" s="27">
        <f t="shared" si="8"/>
        <v>2.6350000000000193</v>
      </c>
      <c r="P50" s="17">
        <f t="shared" si="1"/>
        <v>2.1100000000000181</v>
      </c>
      <c r="Q50" s="3">
        <f t="shared" si="2"/>
        <v>-186.14</v>
      </c>
      <c r="R50" s="3">
        <f t="shared" si="9"/>
        <v>-6.1399999999999864</v>
      </c>
      <c r="S50" s="3">
        <f t="shared" si="10"/>
        <v>353.86</v>
      </c>
      <c r="T50" s="27">
        <f t="shared" si="11"/>
        <v>-6.1399999999999864</v>
      </c>
      <c r="U50" s="17">
        <f t="shared" si="3"/>
        <v>-2.7111216216216105</v>
      </c>
      <c r="V50" s="27">
        <f t="shared" si="4"/>
        <v>-3.9035000000000002</v>
      </c>
    </row>
    <row r="51" spans="1:22" s="5" customFormat="1">
      <c r="A51" s="5">
        <v>-150</v>
      </c>
      <c r="B51" s="17">
        <f t="shared" si="13"/>
        <v>-70</v>
      </c>
      <c r="C51" s="5">
        <v>121.232</v>
      </c>
      <c r="D51" s="5">
        <v>123.625</v>
      </c>
      <c r="E51" s="5">
        <f t="shared" si="5"/>
        <v>115.143</v>
      </c>
      <c r="F51" s="25">
        <f>360-(115.105+D51+C51)</f>
        <v>3.8000000000010914E-2</v>
      </c>
      <c r="G51" s="30">
        <v>1.349</v>
      </c>
      <c r="H51" s="7">
        <v>0.57599999999999996</v>
      </c>
      <c r="I51" s="7">
        <v>-9.9499999999999993</v>
      </c>
      <c r="J51" s="7">
        <v>178.37</v>
      </c>
      <c r="K51" s="21">
        <v>172.25700000000001</v>
      </c>
      <c r="L51" s="3">
        <f t="shared" si="0"/>
        <v>-177.79400000000001</v>
      </c>
      <c r="M51" s="3">
        <f t="shared" si="6"/>
        <v>2.2059999999999889</v>
      </c>
      <c r="N51" s="3">
        <f t="shared" si="7"/>
        <v>2.2059999999999889</v>
      </c>
      <c r="O51" s="27">
        <f t="shared" si="8"/>
        <v>2.2059999999999889</v>
      </c>
      <c r="P51" s="17">
        <f t="shared" si="1"/>
        <v>1.6809999999999878</v>
      </c>
      <c r="Q51" s="3">
        <f t="shared" si="2"/>
        <v>-188.32</v>
      </c>
      <c r="R51" s="3">
        <f t="shared" si="9"/>
        <v>-8.3199999999999932</v>
      </c>
      <c r="S51" s="3">
        <f t="shared" si="10"/>
        <v>351.68</v>
      </c>
      <c r="T51" s="27">
        <f t="shared" si="11"/>
        <v>-8.3199999999999932</v>
      </c>
      <c r="U51" s="17">
        <f t="shared" si="3"/>
        <v>-4.8911216216216173</v>
      </c>
      <c r="V51" s="27">
        <f t="shared" si="4"/>
        <v>-4.6869999999999994</v>
      </c>
    </row>
    <row r="52" spans="1:22" s="5" customFormat="1">
      <c r="A52" s="5">
        <v>-150</v>
      </c>
      <c r="B52" s="17">
        <f t="shared" si="13"/>
        <v>-60</v>
      </c>
      <c r="C52" s="5">
        <v>121.01</v>
      </c>
      <c r="D52" s="5">
        <v>123.634</v>
      </c>
      <c r="E52" s="5">
        <f t="shared" si="5"/>
        <v>115.35599999999999</v>
      </c>
      <c r="F52" s="25">
        <f>360-(115.345+D52+C52)</f>
        <v>1.1000000000024102E-2</v>
      </c>
      <c r="G52" s="30">
        <v>1.35</v>
      </c>
      <c r="H52" s="7">
        <v>1.4450000000000001</v>
      </c>
      <c r="I52" s="7">
        <v>-10.879</v>
      </c>
      <c r="J52" s="6" t="s">
        <v>67</v>
      </c>
      <c r="K52" s="21">
        <v>170.34700000000001</v>
      </c>
      <c r="L52" s="3">
        <f t="shared" si="0"/>
        <v>181.22499999999999</v>
      </c>
      <c r="M52" s="3">
        <f t="shared" si="6"/>
        <v>361.22500000000002</v>
      </c>
      <c r="N52" s="3">
        <f t="shared" si="7"/>
        <v>1.2250000000000227</v>
      </c>
      <c r="O52" s="27">
        <f t="shared" si="8"/>
        <v>1.2250000000000227</v>
      </c>
      <c r="P52" s="17">
        <f t="shared" si="1"/>
        <v>0.70000000000002172</v>
      </c>
      <c r="Q52" s="3">
        <f t="shared" si="2"/>
        <v>168.90100000000001</v>
      </c>
      <c r="R52" s="3">
        <f t="shared" si="9"/>
        <v>348.90100000000001</v>
      </c>
      <c r="S52" s="3">
        <f t="shared" si="10"/>
        <v>348.90100000000001</v>
      </c>
      <c r="T52" s="27">
        <f t="shared" si="11"/>
        <v>-11.09899999999999</v>
      </c>
      <c r="U52" s="17">
        <f t="shared" si="3"/>
        <v>-7.6701216216216137</v>
      </c>
      <c r="V52" s="27">
        <f t="shared" si="4"/>
        <v>-4.7169999999999996</v>
      </c>
    </row>
    <row r="53" spans="1:22" s="5" customFormat="1">
      <c r="A53" s="5">
        <v>-150</v>
      </c>
      <c r="B53" s="17">
        <f t="shared" si="13"/>
        <v>-50</v>
      </c>
      <c r="C53" s="5">
        <v>120.553</v>
      </c>
      <c r="D53" s="5">
        <v>123.499</v>
      </c>
      <c r="E53" s="5">
        <f t="shared" si="5"/>
        <v>115.94800000000001</v>
      </c>
      <c r="F53" s="25">
        <f>360-(115.946+D53+C53)</f>
        <v>2.0000000000095497E-3</v>
      </c>
      <c r="G53" s="30">
        <v>1.351</v>
      </c>
      <c r="H53" s="7">
        <v>2.1509999999999998</v>
      </c>
      <c r="I53" s="7">
        <v>-12.093</v>
      </c>
      <c r="J53" s="6" t="s">
        <v>66</v>
      </c>
      <c r="K53" s="21">
        <v>168.458</v>
      </c>
      <c r="L53" s="3">
        <f t="shared" si="0"/>
        <v>180.55200000000002</v>
      </c>
      <c r="M53" s="3">
        <f t="shared" si="6"/>
        <v>360.55200000000002</v>
      </c>
      <c r="N53" s="3">
        <f t="shared" si="7"/>
        <v>0.55200000000002092</v>
      </c>
      <c r="O53" s="27">
        <f t="shared" si="8"/>
        <v>0.55200000000002092</v>
      </c>
      <c r="P53" s="17">
        <f t="shared" si="1"/>
        <v>2.7000000000019897E-2</v>
      </c>
      <c r="Q53" s="3">
        <f t="shared" si="2"/>
        <v>166.30800000000002</v>
      </c>
      <c r="R53" s="3">
        <f t="shared" si="9"/>
        <v>346.30799999999999</v>
      </c>
      <c r="S53" s="3">
        <f t="shared" si="10"/>
        <v>346.30799999999999</v>
      </c>
      <c r="T53" s="27">
        <f t="shared" si="11"/>
        <v>-13.692000000000007</v>
      </c>
      <c r="U53" s="17">
        <f t="shared" si="3"/>
        <v>-10.263121621621632</v>
      </c>
      <c r="V53" s="27">
        <f t="shared" si="4"/>
        <v>-4.9710000000000001</v>
      </c>
    </row>
    <row r="54" spans="1:22" s="5" customFormat="1">
      <c r="A54" s="5">
        <v>-150</v>
      </c>
      <c r="B54" s="17">
        <f t="shared" si="13"/>
        <v>-40</v>
      </c>
      <c r="C54" s="5">
        <v>119.693</v>
      </c>
      <c r="D54" s="5">
        <v>123.339</v>
      </c>
      <c r="E54" s="5">
        <f t="shared" si="5"/>
        <v>116.96800000000002</v>
      </c>
      <c r="F54" s="25">
        <f>360-(116.968+D54+C54)</f>
        <v>0</v>
      </c>
      <c r="G54" s="30">
        <v>1.351</v>
      </c>
      <c r="H54" s="7">
        <v>3.6230000000000002</v>
      </c>
      <c r="I54" s="7">
        <v>-12.59</v>
      </c>
      <c r="J54" s="6" t="s">
        <v>65</v>
      </c>
      <c r="K54" s="21">
        <v>167.21</v>
      </c>
      <c r="L54" s="3">
        <f t="shared" si="0"/>
        <v>179.79999999999998</v>
      </c>
      <c r="M54" s="3">
        <f t="shared" si="6"/>
        <v>359.79999999999995</v>
      </c>
      <c r="N54" s="3">
        <f t="shared" si="7"/>
        <v>359.79999999999995</v>
      </c>
      <c r="O54" s="27">
        <f t="shared" si="8"/>
        <v>-0.20000000000004547</v>
      </c>
      <c r="P54" s="17">
        <f t="shared" si="1"/>
        <v>-0.7250000000000465</v>
      </c>
      <c r="Q54" s="3">
        <f t="shared" si="2"/>
        <v>163.58699999999999</v>
      </c>
      <c r="R54" s="3">
        <f t="shared" si="9"/>
        <v>343.58699999999999</v>
      </c>
      <c r="S54" s="3">
        <f t="shared" si="10"/>
        <v>343.58699999999999</v>
      </c>
      <c r="T54" s="27">
        <f t="shared" si="11"/>
        <v>-16.413000000000011</v>
      </c>
      <c r="U54" s="17">
        <f t="shared" si="3"/>
        <v>-12.984121621621636</v>
      </c>
      <c r="V54" s="27">
        <f t="shared" si="4"/>
        <v>-4.4834999999999994</v>
      </c>
    </row>
    <row r="55" spans="1:22" s="5" customFormat="1">
      <c r="A55" s="5">
        <v>-150</v>
      </c>
      <c r="B55" s="17">
        <f t="shared" si="13"/>
        <v>-30</v>
      </c>
      <c r="C55" s="5">
        <v>118.33199999999999</v>
      </c>
      <c r="D55" s="5">
        <v>123.246</v>
      </c>
      <c r="E55" s="5">
        <f t="shared" si="5"/>
        <v>118.42200000000003</v>
      </c>
      <c r="F55" s="25">
        <f>360-(118.271+D55+C55)</f>
        <v>0.15100000000001046</v>
      </c>
      <c r="G55" s="30">
        <v>1.3460000000000001</v>
      </c>
      <c r="H55" s="6" t="s">
        <v>64</v>
      </c>
      <c r="I55" s="6">
        <v>6.3819999999999997</v>
      </c>
      <c r="J55" s="6" t="s">
        <v>63</v>
      </c>
      <c r="K55" s="21">
        <v>178.166</v>
      </c>
      <c r="L55" s="3">
        <f t="shared" si="0"/>
        <v>175.452</v>
      </c>
      <c r="M55" s="3">
        <f t="shared" si="6"/>
        <v>355.452</v>
      </c>
      <c r="N55" s="3">
        <f t="shared" si="7"/>
        <v>355.452</v>
      </c>
      <c r="O55" s="27">
        <f t="shared" si="8"/>
        <v>-4.5480000000000018</v>
      </c>
      <c r="P55" s="17">
        <f t="shared" si="1"/>
        <v>-5.0730000000000031</v>
      </c>
      <c r="Q55" s="3">
        <f t="shared" si="2"/>
        <v>183.47499999999999</v>
      </c>
      <c r="R55" s="3">
        <f t="shared" si="9"/>
        <v>363.47500000000002</v>
      </c>
      <c r="S55" s="3">
        <f t="shared" si="10"/>
        <v>3.4750000000000227</v>
      </c>
      <c r="T55" s="27">
        <f t="shared" si="11"/>
        <v>3.4750000000000227</v>
      </c>
      <c r="U55" s="17">
        <f t="shared" si="3"/>
        <v>6.9038783783783986</v>
      </c>
      <c r="V55" s="27">
        <f t="shared" si="4"/>
        <v>2.3704999999999998</v>
      </c>
    </row>
    <row r="56" spans="1:22" s="5" customFormat="1">
      <c r="A56" s="5">
        <v>-150</v>
      </c>
      <c r="B56" s="17">
        <f t="shared" si="13"/>
        <v>-20</v>
      </c>
      <c r="C56" s="5">
        <v>118.136</v>
      </c>
      <c r="D56" s="5">
        <v>123.387</v>
      </c>
      <c r="E56" s="5">
        <f t="shared" si="5"/>
        <v>118.477</v>
      </c>
      <c r="F56" s="25">
        <f>360-(118.347+D56+C56)</f>
        <v>0.12999999999999545</v>
      </c>
      <c r="G56" s="30">
        <v>1.345</v>
      </c>
      <c r="H56" s="6" t="s">
        <v>62</v>
      </c>
      <c r="I56" s="6">
        <v>8.6359999999999992</v>
      </c>
      <c r="J56" s="6" t="s">
        <v>61</v>
      </c>
      <c r="K56" s="21">
        <v>175.59100000000001</v>
      </c>
      <c r="L56" s="3">
        <f t="shared" si="0"/>
        <v>175.774</v>
      </c>
      <c r="M56" s="3">
        <f t="shared" si="6"/>
        <v>355.774</v>
      </c>
      <c r="N56" s="3">
        <f t="shared" si="7"/>
        <v>355.774</v>
      </c>
      <c r="O56" s="27">
        <f t="shared" si="8"/>
        <v>-4.2259999999999991</v>
      </c>
      <c r="P56" s="17">
        <f t="shared" si="1"/>
        <v>-4.7510000000000003</v>
      </c>
      <c r="Q56" s="3">
        <f t="shared" si="2"/>
        <v>187.00700000000001</v>
      </c>
      <c r="R56" s="3">
        <f t="shared" si="9"/>
        <v>367.00700000000001</v>
      </c>
      <c r="S56" s="3">
        <f t="shared" si="10"/>
        <v>7.007000000000005</v>
      </c>
      <c r="T56" s="27">
        <f t="shared" si="11"/>
        <v>7.007000000000005</v>
      </c>
      <c r="U56" s="17">
        <f t="shared" si="3"/>
        <v>10.43587837837838</v>
      </c>
      <c r="V56" s="27">
        <f t="shared" si="4"/>
        <v>3.0194999999999999</v>
      </c>
    </row>
    <row r="57" spans="1:22" s="5" customFormat="1">
      <c r="A57" s="5">
        <v>-150</v>
      </c>
      <c r="B57" s="17">
        <f t="shared" si="13"/>
        <v>-10</v>
      </c>
      <c r="C57" s="5">
        <v>118.163</v>
      </c>
      <c r="D57" s="5">
        <v>123.84</v>
      </c>
      <c r="E57" s="5">
        <f t="shared" si="5"/>
        <v>117.99700000000001</v>
      </c>
      <c r="F57" s="25">
        <f>360-(117.898+D57+C57)</f>
        <v>9.8999999999989541E-2</v>
      </c>
      <c r="G57" s="30">
        <v>1.345</v>
      </c>
      <c r="H57" s="6" t="s">
        <v>60</v>
      </c>
      <c r="I57" s="6">
        <v>-5.0999999999999996</v>
      </c>
      <c r="J57" s="6" t="s">
        <v>59</v>
      </c>
      <c r="K57" s="21">
        <v>173.73400000000001</v>
      </c>
      <c r="L57" s="3">
        <f t="shared" si="0"/>
        <v>176.298</v>
      </c>
      <c r="M57" s="3">
        <f t="shared" si="6"/>
        <v>356.298</v>
      </c>
      <c r="N57" s="3">
        <f t="shared" si="7"/>
        <v>356.298</v>
      </c>
      <c r="O57" s="27">
        <f t="shared" si="8"/>
        <v>-3.7019999999999982</v>
      </c>
      <c r="P57" s="17">
        <f t="shared" si="1"/>
        <v>-4.2269999999999994</v>
      </c>
      <c r="Q57" s="3">
        <f t="shared" si="2"/>
        <v>173.59399999999999</v>
      </c>
      <c r="R57" s="3">
        <f t="shared" si="9"/>
        <v>353.59399999999999</v>
      </c>
      <c r="S57" s="3">
        <f t="shared" si="10"/>
        <v>353.59399999999999</v>
      </c>
      <c r="T57" s="27">
        <f t="shared" si="11"/>
        <v>-6.4060000000000059</v>
      </c>
      <c r="U57" s="17">
        <f t="shared" si="3"/>
        <v>-2.9771216216216301</v>
      </c>
      <c r="V57" s="27">
        <f t="shared" si="4"/>
        <v>-3.7479999999999998</v>
      </c>
    </row>
    <row r="58" spans="1:22" s="5" customFormat="1">
      <c r="A58" s="5">
        <v>-150</v>
      </c>
      <c r="B58" s="17">
        <f t="shared" si="13"/>
        <v>0</v>
      </c>
      <c r="C58" s="5">
        <v>118.357</v>
      </c>
      <c r="D58" s="5">
        <v>123.95099999999999</v>
      </c>
      <c r="E58" s="5">
        <f t="shared" si="5"/>
        <v>117.69200000000001</v>
      </c>
      <c r="F58" s="25">
        <f>360-(117.665+D58+C58)</f>
        <v>2.7000000000043656E-2</v>
      </c>
      <c r="G58" s="30">
        <v>1.345</v>
      </c>
      <c r="H58" s="6" t="s">
        <v>58</v>
      </c>
      <c r="I58" s="6">
        <v>7.12</v>
      </c>
      <c r="J58" s="6" t="s">
        <v>57</v>
      </c>
      <c r="K58" s="21">
        <v>174.821</v>
      </c>
      <c r="L58" s="3">
        <f t="shared" si="0"/>
        <v>178.05799999999999</v>
      </c>
      <c r="M58" s="3">
        <f t="shared" si="6"/>
        <v>358.05799999999999</v>
      </c>
      <c r="N58" s="3">
        <f t="shared" si="7"/>
        <v>358.05799999999999</v>
      </c>
      <c r="O58" s="27">
        <f t="shared" si="8"/>
        <v>-1.9420000000000073</v>
      </c>
      <c r="P58" s="17">
        <f t="shared" si="1"/>
        <v>-2.4670000000000085</v>
      </c>
      <c r="Q58" s="3">
        <f t="shared" si="2"/>
        <v>186.98400000000001</v>
      </c>
      <c r="R58" s="3">
        <f t="shared" si="9"/>
        <v>366.98400000000004</v>
      </c>
      <c r="S58" s="3">
        <f t="shared" si="10"/>
        <v>6.9840000000000373</v>
      </c>
      <c r="T58" s="27">
        <f t="shared" si="11"/>
        <v>6.9840000000000373</v>
      </c>
      <c r="U58" s="17">
        <f t="shared" si="3"/>
        <v>10.412878378378412</v>
      </c>
      <c r="V58" s="27">
        <f t="shared" si="4"/>
        <v>2.657</v>
      </c>
    </row>
    <row r="59" spans="1:22" s="5" customFormat="1">
      <c r="A59" s="5">
        <v>-150</v>
      </c>
      <c r="B59" s="17">
        <f t="shared" si="13"/>
        <v>10</v>
      </c>
      <c r="C59" s="5">
        <v>118.70099999999999</v>
      </c>
      <c r="D59" s="5">
        <v>123.97799999999999</v>
      </c>
      <c r="E59" s="5">
        <f t="shared" si="5"/>
        <v>117.32100000000003</v>
      </c>
      <c r="F59" s="25">
        <f>360-(117.321+D59+C59)</f>
        <v>0</v>
      </c>
      <c r="G59" s="30">
        <v>1.3440000000000001</v>
      </c>
      <c r="H59" s="6" t="s">
        <v>56</v>
      </c>
      <c r="I59" s="6">
        <v>3.722</v>
      </c>
      <c r="J59" s="7">
        <v>179.822</v>
      </c>
      <c r="K59" s="21">
        <v>176.489</v>
      </c>
      <c r="L59" s="3">
        <f t="shared" si="0"/>
        <v>-180.21100000000001</v>
      </c>
      <c r="M59" s="3">
        <f t="shared" si="6"/>
        <v>-0.21100000000001273</v>
      </c>
      <c r="N59" s="3">
        <f t="shared" si="7"/>
        <v>359.78899999999999</v>
      </c>
      <c r="O59" s="27">
        <f t="shared" si="8"/>
        <v>-0.21100000000001273</v>
      </c>
      <c r="P59" s="17">
        <f t="shared" si="1"/>
        <v>-0.73600000000001375</v>
      </c>
      <c r="Q59" s="3">
        <f t="shared" si="2"/>
        <v>-176.1</v>
      </c>
      <c r="R59" s="3">
        <f t="shared" si="9"/>
        <v>3.9000000000000057</v>
      </c>
      <c r="S59" s="3">
        <f t="shared" si="10"/>
        <v>3.9000000000000057</v>
      </c>
      <c r="T59" s="27">
        <f t="shared" si="11"/>
        <v>3.9000000000000057</v>
      </c>
      <c r="U59" s="17">
        <f t="shared" si="3"/>
        <v>7.3288783783783815</v>
      </c>
      <c r="V59" s="27">
        <f t="shared" si="4"/>
        <v>1.6665000000000001</v>
      </c>
    </row>
    <row r="60" spans="1:22" s="5" customFormat="1">
      <c r="A60" s="5">
        <v>-150</v>
      </c>
      <c r="B60" s="17">
        <f t="shared" si="13"/>
        <v>20</v>
      </c>
      <c r="C60" s="5">
        <v>119.02</v>
      </c>
      <c r="D60" s="5">
        <v>124.285</v>
      </c>
      <c r="E60" s="5">
        <f t="shared" si="5"/>
        <v>116.69499999999999</v>
      </c>
      <c r="F60" s="25">
        <f>360-(116.683+D60+C60)</f>
        <v>1.2000000000000455E-2</v>
      </c>
      <c r="G60" s="30">
        <v>1.345</v>
      </c>
      <c r="H60" s="7">
        <v>0.33600000000000002</v>
      </c>
      <c r="I60" s="7">
        <v>0.70799999999999996</v>
      </c>
      <c r="J60" s="7">
        <v>179.04599999999999</v>
      </c>
      <c r="K60" s="21">
        <v>178.001</v>
      </c>
      <c r="L60" s="3">
        <f t="shared" si="0"/>
        <v>-178.70999999999998</v>
      </c>
      <c r="M60" s="3">
        <f t="shared" si="6"/>
        <v>1.2900000000000205</v>
      </c>
      <c r="N60" s="3">
        <f t="shared" si="7"/>
        <v>1.2900000000000205</v>
      </c>
      <c r="O60" s="27">
        <f t="shared" si="8"/>
        <v>1.2900000000000205</v>
      </c>
      <c r="P60" s="17">
        <f t="shared" si="1"/>
        <v>0.76500000000001944</v>
      </c>
      <c r="Q60" s="3">
        <f t="shared" si="2"/>
        <v>-178.33799999999999</v>
      </c>
      <c r="R60" s="3">
        <f t="shared" si="9"/>
        <v>1.6620000000000061</v>
      </c>
      <c r="S60" s="3">
        <f t="shared" si="10"/>
        <v>1.6620000000000061</v>
      </c>
      <c r="T60" s="27">
        <f t="shared" si="11"/>
        <v>1.6620000000000061</v>
      </c>
      <c r="U60" s="17">
        <f t="shared" si="3"/>
        <v>5.090878378378382</v>
      </c>
      <c r="V60" s="27">
        <f t="shared" si="4"/>
        <v>0.52200000000000002</v>
      </c>
    </row>
    <row r="61" spans="1:22" s="5" customFormat="1">
      <c r="A61" s="5">
        <v>-150</v>
      </c>
      <c r="B61" s="17">
        <f t="shared" si="13"/>
        <v>30</v>
      </c>
      <c r="C61" s="5">
        <v>119.499</v>
      </c>
      <c r="D61" s="5">
        <v>124.15</v>
      </c>
      <c r="E61" s="5">
        <f t="shared" si="5"/>
        <v>116.351</v>
      </c>
      <c r="F61" s="25">
        <f>360-(116.293+D61+C61)</f>
        <v>5.7999999999992724E-2</v>
      </c>
      <c r="G61" s="30">
        <v>1.345</v>
      </c>
      <c r="H61" s="7">
        <v>1.546</v>
      </c>
      <c r="I61" s="7">
        <v>-3.1579999999999999</v>
      </c>
      <c r="J61" s="7">
        <v>178.75399999999999</v>
      </c>
      <c r="K61" s="21">
        <v>179.63399999999999</v>
      </c>
      <c r="L61" s="3">
        <f t="shared" si="0"/>
        <v>-177.208</v>
      </c>
      <c r="M61" s="3">
        <f t="shared" si="6"/>
        <v>2.7920000000000016</v>
      </c>
      <c r="N61" s="3">
        <f t="shared" si="7"/>
        <v>2.7920000000000016</v>
      </c>
      <c r="O61" s="27">
        <f t="shared" si="8"/>
        <v>2.7920000000000016</v>
      </c>
      <c r="P61" s="17">
        <f t="shared" si="1"/>
        <v>2.2670000000000003</v>
      </c>
      <c r="Q61" s="3">
        <f t="shared" si="2"/>
        <v>-181.91199999999998</v>
      </c>
      <c r="R61" s="3">
        <f t="shared" si="9"/>
        <v>-1.9119999999999777</v>
      </c>
      <c r="S61" s="3">
        <f t="shared" si="10"/>
        <v>358.08800000000002</v>
      </c>
      <c r="T61" s="27">
        <f t="shared" si="11"/>
        <v>-1.9119999999999777</v>
      </c>
      <c r="U61" s="17">
        <f t="shared" si="3"/>
        <v>1.5168783783783981</v>
      </c>
      <c r="V61" s="27">
        <f t="shared" si="4"/>
        <v>-0.80599999999999994</v>
      </c>
    </row>
    <row r="62" spans="1:22" s="5" customFormat="1">
      <c r="A62" s="5">
        <v>-150</v>
      </c>
      <c r="B62" s="17">
        <f t="shared" si="13"/>
        <v>40</v>
      </c>
      <c r="C62" s="5">
        <v>119.979</v>
      </c>
      <c r="D62" s="5">
        <v>124.05800000000001</v>
      </c>
      <c r="E62" s="5">
        <f t="shared" si="5"/>
        <v>115.96299999999999</v>
      </c>
      <c r="F62" s="25">
        <f>360-(115.857+D62+C62)</f>
        <v>0.10599999999999454</v>
      </c>
      <c r="G62" s="30">
        <v>1.3460000000000001</v>
      </c>
      <c r="H62" s="7">
        <v>2.3620000000000001</v>
      </c>
      <c r="I62" s="7">
        <v>-5.8710000000000004</v>
      </c>
      <c r="J62" s="7">
        <v>178.59100000000001</v>
      </c>
      <c r="K62" s="21">
        <v>177.9</v>
      </c>
      <c r="L62" s="3">
        <f t="shared" si="0"/>
        <v>-176.22900000000001</v>
      </c>
      <c r="M62" s="3">
        <f t="shared" si="6"/>
        <v>3.7709999999999866</v>
      </c>
      <c r="N62" s="3">
        <f t="shared" si="7"/>
        <v>3.7709999999999866</v>
      </c>
      <c r="O62" s="27">
        <f t="shared" si="8"/>
        <v>3.7709999999999866</v>
      </c>
      <c r="P62" s="17">
        <f t="shared" si="1"/>
        <v>3.2459999999999853</v>
      </c>
      <c r="Q62" s="3">
        <f t="shared" si="2"/>
        <v>-184.46200000000002</v>
      </c>
      <c r="R62" s="3">
        <f t="shared" si="9"/>
        <v>-4.4620000000000175</v>
      </c>
      <c r="S62" s="3">
        <f t="shared" si="10"/>
        <v>355.53800000000001</v>
      </c>
      <c r="T62" s="27">
        <f t="shared" si="11"/>
        <v>-4.4619999999999891</v>
      </c>
      <c r="U62" s="17">
        <f t="shared" si="3"/>
        <v>-1.0331216216216133</v>
      </c>
      <c r="V62" s="27">
        <f t="shared" si="4"/>
        <v>-1.7545000000000002</v>
      </c>
    </row>
    <row r="63" spans="1:22" s="5" customFormat="1">
      <c r="A63" s="5">
        <v>-150</v>
      </c>
      <c r="B63" s="17">
        <f t="shared" si="13"/>
        <v>50</v>
      </c>
      <c r="C63" s="5">
        <v>120.39</v>
      </c>
      <c r="D63" s="5">
        <v>123.892</v>
      </c>
      <c r="E63" s="5">
        <f t="shared" si="5"/>
        <v>115.71800000000002</v>
      </c>
      <c r="F63" s="25">
        <f>360-(115.605+D63+C63)</f>
        <v>0.11299999999999955</v>
      </c>
      <c r="G63" s="30">
        <v>1.3460000000000001</v>
      </c>
      <c r="H63" s="7">
        <v>3.0129999999999999</v>
      </c>
      <c r="I63" s="7">
        <v>-6.992</v>
      </c>
      <c r="J63" s="7">
        <v>179.13900000000001</v>
      </c>
      <c r="K63" s="21">
        <v>176.88300000000001</v>
      </c>
      <c r="L63" s="3">
        <f t="shared" si="0"/>
        <v>-176.126</v>
      </c>
      <c r="M63" s="3">
        <f t="shared" si="6"/>
        <v>3.8739999999999952</v>
      </c>
      <c r="N63" s="3">
        <f t="shared" si="7"/>
        <v>3.8739999999999952</v>
      </c>
      <c r="O63" s="27">
        <f t="shared" si="8"/>
        <v>3.8739999999999952</v>
      </c>
      <c r="P63" s="17">
        <f t="shared" si="1"/>
        <v>3.348999999999994</v>
      </c>
      <c r="Q63" s="3">
        <f t="shared" si="2"/>
        <v>-186.131</v>
      </c>
      <c r="R63" s="3">
        <f t="shared" si="9"/>
        <v>-6.1310000000000002</v>
      </c>
      <c r="S63" s="3">
        <f t="shared" si="10"/>
        <v>353.86900000000003</v>
      </c>
      <c r="T63" s="27">
        <f t="shared" si="11"/>
        <v>-6.1309999999999718</v>
      </c>
      <c r="U63" s="17">
        <f t="shared" si="3"/>
        <v>-2.702121621621596</v>
      </c>
      <c r="V63" s="27">
        <f t="shared" si="4"/>
        <v>-1.9895</v>
      </c>
    </row>
    <row r="64" spans="1:22" s="5" customFormat="1">
      <c r="A64" s="5">
        <v>-150</v>
      </c>
      <c r="B64" s="17">
        <f t="shared" si="13"/>
        <v>60</v>
      </c>
      <c r="C64" s="5">
        <v>120.66200000000001</v>
      </c>
      <c r="D64" s="5">
        <v>123.938</v>
      </c>
      <c r="E64" s="5">
        <f t="shared" si="5"/>
        <v>115.39999999999998</v>
      </c>
      <c r="F64" s="25">
        <f>360-(115.354+D64+C64)</f>
        <v>4.5999999999992269E-2</v>
      </c>
      <c r="G64" s="30">
        <v>1.347</v>
      </c>
      <c r="H64" s="7">
        <v>4.2679999999999998</v>
      </c>
      <c r="I64" s="7">
        <v>-5.0869999999999997</v>
      </c>
      <c r="J64" s="6" t="s">
        <v>55</v>
      </c>
      <c r="K64" s="21">
        <v>177.35900000000001</v>
      </c>
      <c r="L64" s="3">
        <f t="shared" si="0"/>
        <v>182.44499999999999</v>
      </c>
      <c r="M64" s="3">
        <f t="shared" si="6"/>
        <v>362.44499999999999</v>
      </c>
      <c r="N64" s="3">
        <f t="shared" si="7"/>
        <v>2.4449999999999932</v>
      </c>
      <c r="O64" s="27">
        <f t="shared" si="8"/>
        <v>2.4449999999999932</v>
      </c>
      <c r="P64" s="17">
        <f t="shared" si="1"/>
        <v>1.9199999999999922</v>
      </c>
      <c r="Q64" s="3">
        <f t="shared" si="2"/>
        <v>173.09</v>
      </c>
      <c r="R64" s="3">
        <f t="shared" si="9"/>
        <v>353.09000000000003</v>
      </c>
      <c r="S64" s="3">
        <f t="shared" si="10"/>
        <v>353.09000000000003</v>
      </c>
      <c r="T64" s="27">
        <f t="shared" si="11"/>
        <v>-6.9099999999999682</v>
      </c>
      <c r="U64" s="17">
        <f t="shared" si="3"/>
        <v>-3.4811216216215923</v>
      </c>
      <c r="V64" s="27">
        <f t="shared" si="4"/>
        <v>-0.40949999999999998</v>
      </c>
    </row>
    <row r="65" spans="1:22" s="5" customFormat="1">
      <c r="A65" s="5">
        <v>-150</v>
      </c>
      <c r="B65" s="17">
        <f t="shared" si="13"/>
        <v>70</v>
      </c>
      <c r="C65" s="5">
        <v>120.818</v>
      </c>
      <c r="D65" s="5">
        <v>123.973</v>
      </c>
      <c r="E65" s="5">
        <f t="shared" si="5"/>
        <v>115.209</v>
      </c>
      <c r="F65" s="25">
        <f>360-(115.203+D65+C65)</f>
        <v>6.0000000000286491E-3</v>
      </c>
      <c r="G65" s="30">
        <v>1.347</v>
      </c>
      <c r="H65" s="7">
        <v>4.2590000000000003</v>
      </c>
      <c r="I65" s="7">
        <v>-2.93</v>
      </c>
      <c r="J65" s="6" t="s">
        <v>54</v>
      </c>
      <c r="K65" s="21">
        <v>177.995</v>
      </c>
      <c r="L65" s="3">
        <f t="shared" si="0"/>
        <v>180.928</v>
      </c>
      <c r="M65" s="3">
        <f t="shared" si="6"/>
        <v>360.928</v>
      </c>
      <c r="N65" s="3">
        <f t="shared" si="7"/>
        <v>0.92799999999999727</v>
      </c>
      <c r="O65" s="27">
        <f t="shared" si="8"/>
        <v>0.92799999999999727</v>
      </c>
      <c r="P65" s="17">
        <f t="shared" si="1"/>
        <v>0.40299999999999625</v>
      </c>
      <c r="Q65" s="3">
        <f t="shared" si="2"/>
        <v>173.739</v>
      </c>
      <c r="R65" s="3">
        <f t="shared" si="9"/>
        <v>353.73900000000003</v>
      </c>
      <c r="S65" s="3">
        <f t="shared" si="10"/>
        <v>353.73900000000003</v>
      </c>
      <c r="T65" s="27">
        <f t="shared" si="11"/>
        <v>-6.2609999999999673</v>
      </c>
      <c r="U65" s="17">
        <f t="shared" si="3"/>
        <v>-2.8321216216215914</v>
      </c>
      <c r="V65" s="27">
        <f t="shared" si="4"/>
        <v>0.66450000000000009</v>
      </c>
    </row>
    <row r="66" spans="1:22" s="5" customFormat="1">
      <c r="A66" s="5">
        <v>-150</v>
      </c>
      <c r="B66" s="17">
        <f t="shared" si="13"/>
        <v>80</v>
      </c>
      <c r="C66" s="5">
        <v>120.795</v>
      </c>
      <c r="D66" s="5">
        <v>123.907</v>
      </c>
      <c r="E66" s="5">
        <f t="shared" si="5"/>
        <v>115.298</v>
      </c>
      <c r="F66" s="25">
        <f>360-(115.297+D66+C66)</f>
        <v>9.9999999997635314E-4</v>
      </c>
      <c r="G66" s="30">
        <v>1.347</v>
      </c>
      <c r="H66" s="7">
        <v>3.4369999999999998</v>
      </c>
      <c r="I66" s="7">
        <v>-1.087</v>
      </c>
      <c r="J66" s="6" t="s">
        <v>53</v>
      </c>
      <c r="K66" s="21">
        <v>178.44300000000001</v>
      </c>
      <c r="L66" s="3">
        <f t="shared" si="0"/>
        <v>179.53</v>
      </c>
      <c r="M66" s="3">
        <f t="shared" si="6"/>
        <v>359.53</v>
      </c>
      <c r="N66" s="3">
        <f t="shared" si="7"/>
        <v>359.53</v>
      </c>
      <c r="O66" s="27">
        <f t="shared" si="8"/>
        <v>-0.47000000000002728</v>
      </c>
      <c r="P66" s="17">
        <f t="shared" si="1"/>
        <v>-0.99500000000002831</v>
      </c>
      <c r="Q66" s="3">
        <f t="shared" si="2"/>
        <v>175.006</v>
      </c>
      <c r="R66" s="3">
        <f t="shared" si="9"/>
        <v>355.00599999999997</v>
      </c>
      <c r="S66" s="3">
        <f t="shared" si="10"/>
        <v>355.00599999999997</v>
      </c>
      <c r="T66" s="27">
        <f t="shared" si="11"/>
        <v>-4.9940000000000282</v>
      </c>
      <c r="U66" s="17">
        <f t="shared" si="3"/>
        <v>-1.5651216216216524</v>
      </c>
      <c r="V66" s="27">
        <f t="shared" si="4"/>
        <v>1.1749999999999998</v>
      </c>
    </row>
    <row r="67" spans="1:22" s="5" customFormat="1">
      <c r="A67" s="5">
        <v>-150</v>
      </c>
      <c r="B67" s="17">
        <f t="shared" si="13"/>
        <v>90</v>
      </c>
      <c r="C67" s="5">
        <v>120.583</v>
      </c>
      <c r="D67" s="5">
        <v>123.925</v>
      </c>
      <c r="E67" s="5">
        <f t="shared" si="5"/>
        <v>115.49200000000002</v>
      </c>
      <c r="F67" s="25">
        <f>360-(115.473+D67+C67)</f>
        <v>1.9000000000005457E-2</v>
      </c>
      <c r="G67" s="30">
        <v>1.3460000000000001</v>
      </c>
      <c r="H67" s="7">
        <v>3.1640000000000001</v>
      </c>
      <c r="I67" s="7">
        <v>-0.22900000000000001</v>
      </c>
      <c r="J67" s="6" t="s">
        <v>52</v>
      </c>
      <c r="K67" s="21">
        <v>178.185</v>
      </c>
      <c r="L67" s="3">
        <f t="shared" ref="L67:L130" si="14">H67-J67</f>
        <v>178.41399999999999</v>
      </c>
      <c r="M67" s="3">
        <f t="shared" si="6"/>
        <v>358.41399999999999</v>
      </c>
      <c r="N67" s="3">
        <f t="shared" si="7"/>
        <v>358.41399999999999</v>
      </c>
      <c r="O67" s="27">
        <f t="shared" si="8"/>
        <v>-1.5860000000000127</v>
      </c>
      <c r="P67" s="17">
        <f t="shared" ref="P67:P130" si="15">O67-$O$299</f>
        <v>-2.111000000000014</v>
      </c>
      <c r="Q67" s="3">
        <f t="shared" ref="Q67:Q130" si="16">I67-J67</f>
        <v>175.02099999999999</v>
      </c>
      <c r="R67" s="3">
        <f t="shared" si="9"/>
        <v>355.02099999999996</v>
      </c>
      <c r="S67" s="3">
        <f t="shared" si="10"/>
        <v>355.02099999999996</v>
      </c>
      <c r="T67" s="27">
        <f t="shared" si="11"/>
        <v>-4.9790000000000418</v>
      </c>
      <c r="U67" s="17">
        <f t="shared" ref="U67:U130" si="17">T67-$T$299</f>
        <v>-1.550121621621666</v>
      </c>
      <c r="V67" s="27">
        <f t="shared" ref="V67:V130" si="18">(H67+I67)/2</f>
        <v>1.4675</v>
      </c>
    </row>
    <row r="68" spans="1:22" s="5" customFormat="1">
      <c r="A68" s="5">
        <v>-150</v>
      </c>
      <c r="B68" s="17">
        <f t="shared" si="13"/>
        <v>100</v>
      </c>
      <c r="C68" s="5">
        <v>120.211</v>
      </c>
      <c r="D68" s="5">
        <v>123.9</v>
      </c>
      <c r="E68" s="5">
        <f t="shared" ref="E68:E131" si="19">360-(C68+D68)</f>
        <v>115.88900000000001</v>
      </c>
      <c r="F68" s="25">
        <f>360-(115.855+D68+C68)</f>
        <v>3.3999999999991815E-2</v>
      </c>
      <c r="G68" s="30">
        <v>1.345</v>
      </c>
      <c r="H68" s="7">
        <v>1.712</v>
      </c>
      <c r="I68" s="7">
        <v>0.48499999999999999</v>
      </c>
      <c r="J68" s="6" t="s">
        <v>48</v>
      </c>
      <c r="K68" s="21">
        <v>178.358</v>
      </c>
      <c r="L68" s="3">
        <f t="shared" si="14"/>
        <v>177.874</v>
      </c>
      <c r="M68" s="3">
        <f t="shared" ref="M68:M131" si="20">L68+180</f>
        <v>357.87400000000002</v>
      </c>
      <c r="N68" s="3">
        <f t="shared" ref="N68:N131" si="21">MOD(M68,360)</f>
        <v>357.87400000000002</v>
      </c>
      <c r="O68" s="27">
        <f t="shared" ref="O68:O131" si="22">IF(N68&gt;=180,N68-360,N68)</f>
        <v>-2.1259999999999764</v>
      </c>
      <c r="P68" s="17">
        <f t="shared" si="15"/>
        <v>-2.6509999999999776</v>
      </c>
      <c r="Q68" s="3">
        <f t="shared" si="16"/>
        <v>176.64700000000002</v>
      </c>
      <c r="R68" s="3">
        <f t="shared" ref="R68:R131" si="23">Q68+180</f>
        <v>356.64700000000005</v>
      </c>
      <c r="S68" s="3">
        <f t="shared" ref="S68:S131" si="24">MOD(R68,360)</f>
        <v>356.64700000000005</v>
      </c>
      <c r="T68" s="27">
        <f t="shared" ref="T68:T131" si="25">IF(S68&gt;=180,S68-360,S68)</f>
        <v>-3.3529999999999518</v>
      </c>
      <c r="U68" s="17">
        <f t="shared" si="17"/>
        <v>7.5878378378424038E-2</v>
      </c>
      <c r="V68" s="27">
        <f t="shared" si="18"/>
        <v>1.0985</v>
      </c>
    </row>
    <row r="69" spans="1:22" s="5" customFormat="1">
      <c r="A69" s="5">
        <v>-150</v>
      </c>
      <c r="B69" s="17">
        <f t="shared" si="13"/>
        <v>110</v>
      </c>
      <c r="C69" s="5">
        <v>119.88200000000001</v>
      </c>
      <c r="D69" s="5">
        <v>124.042</v>
      </c>
      <c r="E69" s="5">
        <f t="shared" si="19"/>
        <v>116.07599999999999</v>
      </c>
      <c r="F69" s="25">
        <f>360-(116.05+D69+C69)</f>
        <v>2.6000000000010459E-2</v>
      </c>
      <c r="G69" s="30">
        <v>1.3440000000000001</v>
      </c>
      <c r="H69" s="7">
        <v>0.54300000000000004</v>
      </c>
      <c r="I69" s="7">
        <v>-0.27600000000000002</v>
      </c>
      <c r="J69" s="6" t="s">
        <v>51</v>
      </c>
      <c r="K69" s="21">
        <v>177.852</v>
      </c>
      <c r="L69" s="3">
        <f t="shared" si="14"/>
        <v>178.12800000000001</v>
      </c>
      <c r="M69" s="3">
        <f t="shared" si="20"/>
        <v>358.12800000000004</v>
      </c>
      <c r="N69" s="3">
        <f t="shared" si="21"/>
        <v>358.12800000000004</v>
      </c>
      <c r="O69" s="27">
        <f t="shared" si="22"/>
        <v>-1.8719999999999573</v>
      </c>
      <c r="P69" s="17">
        <f t="shared" si="15"/>
        <v>-2.3969999999999585</v>
      </c>
      <c r="Q69" s="3">
        <f t="shared" si="16"/>
        <v>177.309</v>
      </c>
      <c r="R69" s="3">
        <f t="shared" si="23"/>
        <v>357.30899999999997</v>
      </c>
      <c r="S69" s="3">
        <f t="shared" si="24"/>
        <v>357.30899999999997</v>
      </c>
      <c r="T69" s="27">
        <f t="shared" si="25"/>
        <v>-2.6910000000000309</v>
      </c>
      <c r="U69" s="17">
        <f t="shared" si="17"/>
        <v>0.73787837837834491</v>
      </c>
      <c r="V69" s="27">
        <f t="shared" si="18"/>
        <v>0.13350000000000001</v>
      </c>
    </row>
    <row r="70" spans="1:22" s="5" customFormat="1">
      <c r="A70" s="5">
        <v>-150</v>
      </c>
      <c r="B70" s="17">
        <f t="shared" si="13"/>
        <v>120</v>
      </c>
      <c r="C70" s="5">
        <v>119.792</v>
      </c>
      <c r="D70" s="5">
        <v>124.01</v>
      </c>
      <c r="E70" s="5">
        <f t="shared" si="19"/>
        <v>116.19799999999998</v>
      </c>
      <c r="F70" s="25">
        <f>360-(116.187+D70+C70)</f>
        <v>1.0999999999967258E-2</v>
      </c>
      <c r="G70" s="30">
        <v>1.3440000000000001</v>
      </c>
      <c r="H70" s="6" t="s">
        <v>50</v>
      </c>
      <c r="I70" s="6">
        <v>-1.464</v>
      </c>
      <c r="J70" s="6" t="s">
        <v>49</v>
      </c>
      <c r="K70" s="21">
        <v>177.33799999999999</v>
      </c>
      <c r="L70" s="3">
        <f t="shared" si="14"/>
        <v>178.80199999999999</v>
      </c>
      <c r="M70" s="3">
        <f t="shared" si="20"/>
        <v>358.80200000000002</v>
      </c>
      <c r="N70" s="3">
        <f t="shared" si="21"/>
        <v>358.80200000000002</v>
      </c>
      <c r="O70" s="27">
        <f t="shared" si="22"/>
        <v>-1.1979999999999791</v>
      </c>
      <c r="P70" s="17">
        <f t="shared" si="15"/>
        <v>-1.7229999999999801</v>
      </c>
      <c r="Q70" s="3">
        <f t="shared" si="16"/>
        <v>178.00399999999999</v>
      </c>
      <c r="R70" s="3">
        <f t="shared" si="23"/>
        <v>358.00400000000002</v>
      </c>
      <c r="S70" s="3">
        <f t="shared" si="24"/>
        <v>358.00400000000002</v>
      </c>
      <c r="T70" s="27">
        <f t="shared" si="25"/>
        <v>-1.9959999999999809</v>
      </c>
      <c r="U70" s="17">
        <f t="shared" si="17"/>
        <v>1.4328783783783949</v>
      </c>
      <c r="V70" s="27">
        <f t="shared" si="18"/>
        <v>-1.0649999999999999</v>
      </c>
    </row>
    <row r="71" spans="1:22" s="5" customFormat="1">
      <c r="A71" s="5">
        <v>-150</v>
      </c>
      <c r="B71" s="17">
        <f t="shared" si="13"/>
        <v>130</v>
      </c>
      <c r="C71" s="5">
        <v>119.923</v>
      </c>
      <c r="D71" s="5">
        <v>124.02500000000001</v>
      </c>
      <c r="E71" s="5">
        <f t="shared" si="19"/>
        <v>116.05199999999999</v>
      </c>
      <c r="F71" s="25">
        <f>360-(116.051+D71+C71)</f>
        <v>9.9999999997635314E-4</v>
      </c>
      <c r="G71" s="30">
        <v>1.343</v>
      </c>
      <c r="H71" s="6" t="s">
        <v>47</v>
      </c>
      <c r="I71" s="6">
        <v>-2.7</v>
      </c>
      <c r="J71" s="7">
        <v>178.34200000000001</v>
      </c>
      <c r="K71" s="21">
        <v>177.108</v>
      </c>
      <c r="L71" s="3">
        <f t="shared" si="14"/>
        <v>-180.191</v>
      </c>
      <c r="M71" s="3">
        <f t="shared" si="20"/>
        <v>-0.1910000000000025</v>
      </c>
      <c r="N71" s="3">
        <f t="shared" si="21"/>
        <v>359.80899999999997</v>
      </c>
      <c r="O71" s="27">
        <f t="shared" si="22"/>
        <v>-0.19100000000003092</v>
      </c>
      <c r="P71" s="17">
        <f t="shared" si="15"/>
        <v>-0.71600000000003194</v>
      </c>
      <c r="Q71" s="3">
        <f t="shared" si="16"/>
        <v>-181.042</v>
      </c>
      <c r="R71" s="3">
        <f t="shared" si="23"/>
        <v>-1.0420000000000016</v>
      </c>
      <c r="S71" s="3">
        <f t="shared" si="24"/>
        <v>358.95799999999997</v>
      </c>
      <c r="T71" s="27">
        <f t="shared" si="25"/>
        <v>-1.04200000000003</v>
      </c>
      <c r="U71" s="17">
        <f t="shared" si="17"/>
        <v>2.3868783783783458</v>
      </c>
      <c r="V71" s="27">
        <f t="shared" si="18"/>
        <v>-2.2745000000000002</v>
      </c>
    </row>
    <row r="72" spans="1:22" s="5" customFormat="1">
      <c r="A72" s="5">
        <v>-150</v>
      </c>
      <c r="B72" s="17">
        <f t="shared" si="13"/>
        <v>140</v>
      </c>
      <c r="C72" s="5">
        <v>120.078</v>
      </c>
      <c r="D72" s="5">
        <v>124.084</v>
      </c>
      <c r="E72" s="5">
        <f t="shared" si="19"/>
        <v>115.83799999999999</v>
      </c>
      <c r="F72" s="25">
        <f>360-(115.834+C72+D72)</f>
        <v>4.0000000000190994E-3</v>
      </c>
      <c r="G72" s="30">
        <v>1.343</v>
      </c>
      <c r="H72" s="6" t="s">
        <v>46</v>
      </c>
      <c r="I72" s="6">
        <v>-3.899</v>
      </c>
      <c r="J72" s="7">
        <v>177.142</v>
      </c>
      <c r="K72" s="21">
        <v>176.78100000000001</v>
      </c>
      <c r="L72" s="3">
        <f t="shared" si="14"/>
        <v>-179.32</v>
      </c>
      <c r="M72" s="3">
        <f t="shared" si="20"/>
        <v>0.68000000000000682</v>
      </c>
      <c r="N72" s="3">
        <f t="shared" si="21"/>
        <v>0.68000000000000682</v>
      </c>
      <c r="O72" s="27">
        <f t="shared" si="22"/>
        <v>0.68000000000000682</v>
      </c>
      <c r="P72" s="17">
        <f t="shared" si="15"/>
        <v>0.1550000000000058</v>
      </c>
      <c r="Q72" s="3">
        <f t="shared" si="16"/>
        <v>-181.041</v>
      </c>
      <c r="R72" s="3">
        <f t="shared" si="23"/>
        <v>-1.0409999999999968</v>
      </c>
      <c r="S72" s="3">
        <f t="shared" si="24"/>
        <v>358.959</v>
      </c>
      <c r="T72" s="27">
        <f t="shared" si="25"/>
        <v>-1.0409999999999968</v>
      </c>
      <c r="U72" s="17">
        <f t="shared" si="17"/>
        <v>2.387878378378379</v>
      </c>
      <c r="V72" s="27">
        <f t="shared" si="18"/>
        <v>-3.0385</v>
      </c>
    </row>
    <row r="73" spans="1:22" s="5" customFormat="1">
      <c r="A73" s="5">
        <v>-150</v>
      </c>
      <c r="B73" s="17">
        <f t="shared" si="13"/>
        <v>150</v>
      </c>
      <c r="C73" s="5">
        <v>120.301</v>
      </c>
      <c r="D73" s="5">
        <v>124.145</v>
      </c>
      <c r="E73" s="5">
        <f t="shared" si="19"/>
        <v>115.554</v>
      </c>
      <c r="F73" s="25">
        <f>360-(115.54+D73+C73)</f>
        <v>1.4000000000010004E-2</v>
      </c>
      <c r="G73" s="30">
        <v>1.343</v>
      </c>
      <c r="H73" s="6" t="s">
        <v>45</v>
      </c>
      <c r="I73" s="6">
        <v>-4.4329999999999998</v>
      </c>
      <c r="J73" s="7">
        <v>176.19200000000001</v>
      </c>
      <c r="K73" s="21">
        <v>176.90199999999999</v>
      </c>
      <c r="L73" s="3">
        <f t="shared" si="14"/>
        <v>-178.66500000000002</v>
      </c>
      <c r="M73" s="3">
        <f t="shared" si="20"/>
        <v>1.3349999999999795</v>
      </c>
      <c r="N73" s="3">
        <f t="shared" si="21"/>
        <v>1.3349999999999795</v>
      </c>
      <c r="O73" s="27">
        <f t="shared" si="22"/>
        <v>1.3349999999999795</v>
      </c>
      <c r="P73" s="17">
        <f t="shared" si="15"/>
        <v>0.80999999999997851</v>
      </c>
      <c r="Q73" s="3">
        <f t="shared" si="16"/>
        <v>-180.625</v>
      </c>
      <c r="R73" s="3">
        <f t="shared" si="23"/>
        <v>-0.625</v>
      </c>
      <c r="S73" s="3">
        <f t="shared" si="24"/>
        <v>359.375</v>
      </c>
      <c r="T73" s="27">
        <f t="shared" si="25"/>
        <v>-0.625</v>
      </c>
      <c r="U73" s="17">
        <f t="shared" si="17"/>
        <v>2.8038783783783758</v>
      </c>
      <c r="V73" s="27">
        <f t="shared" si="18"/>
        <v>-3.4529999999999998</v>
      </c>
    </row>
    <row r="74" spans="1:22" s="5" customFormat="1">
      <c r="A74" s="5">
        <v>-150</v>
      </c>
      <c r="B74" s="17">
        <f t="shared" si="13"/>
        <v>160</v>
      </c>
      <c r="C74" s="5">
        <v>120.59099999999999</v>
      </c>
      <c r="D74" s="5">
        <v>124.065</v>
      </c>
      <c r="E74" s="5">
        <f t="shared" si="19"/>
        <v>115.34399999999999</v>
      </c>
      <c r="F74" s="25">
        <f>360-(115.32+D74+C74)</f>
        <v>2.4000000000000909E-2</v>
      </c>
      <c r="G74" s="30">
        <v>1.343</v>
      </c>
      <c r="H74" s="6" t="s">
        <v>44</v>
      </c>
      <c r="I74" s="6">
        <v>-4.8330000000000002</v>
      </c>
      <c r="J74" s="7">
        <v>177.01900000000001</v>
      </c>
      <c r="K74" s="21">
        <v>176.93899999999999</v>
      </c>
      <c r="L74" s="3">
        <f t="shared" si="14"/>
        <v>-178.22800000000001</v>
      </c>
      <c r="M74" s="3">
        <f t="shared" si="20"/>
        <v>1.7719999999999914</v>
      </c>
      <c r="N74" s="3">
        <f t="shared" si="21"/>
        <v>1.7719999999999914</v>
      </c>
      <c r="O74" s="27">
        <f t="shared" si="22"/>
        <v>1.7719999999999914</v>
      </c>
      <c r="P74" s="17">
        <f t="shared" si="15"/>
        <v>1.2469999999999903</v>
      </c>
      <c r="Q74" s="3">
        <f t="shared" si="16"/>
        <v>-181.852</v>
      </c>
      <c r="R74" s="3">
        <f t="shared" si="23"/>
        <v>-1.8520000000000039</v>
      </c>
      <c r="S74" s="3">
        <f t="shared" si="24"/>
        <v>358.14800000000002</v>
      </c>
      <c r="T74" s="27">
        <f t="shared" si="25"/>
        <v>-1.8519999999999754</v>
      </c>
      <c r="U74" s="17">
        <f t="shared" si="17"/>
        <v>1.5768783783784004</v>
      </c>
      <c r="V74" s="27">
        <f t="shared" si="18"/>
        <v>-3.0209999999999999</v>
      </c>
    </row>
    <row r="75" spans="1:22" s="5" customFormat="1">
      <c r="A75" s="5">
        <v>-150</v>
      </c>
      <c r="B75" s="17">
        <f t="shared" si="13"/>
        <v>170</v>
      </c>
      <c r="C75" s="5">
        <v>120.88500000000001</v>
      </c>
      <c r="D75" s="5">
        <v>124.004</v>
      </c>
      <c r="E75" s="5">
        <f t="shared" si="19"/>
        <v>115.11099999999999</v>
      </c>
      <c r="F75" s="25">
        <f>360-(115.082+D75+C75)</f>
        <v>2.8999999999996362E-2</v>
      </c>
      <c r="G75" s="30">
        <v>1.343</v>
      </c>
      <c r="H75" s="7">
        <v>0.71299999999999997</v>
      </c>
      <c r="I75" s="7">
        <v>-5.14</v>
      </c>
      <c r="J75" s="7">
        <v>178.77199999999999</v>
      </c>
      <c r="K75" s="21">
        <v>176.80099999999999</v>
      </c>
      <c r="L75" s="3">
        <f t="shared" si="14"/>
        <v>-178.059</v>
      </c>
      <c r="M75" s="3">
        <f t="shared" si="20"/>
        <v>1.9410000000000025</v>
      </c>
      <c r="N75" s="3">
        <f t="shared" si="21"/>
        <v>1.9410000000000025</v>
      </c>
      <c r="O75" s="27">
        <f t="shared" si="22"/>
        <v>1.9410000000000025</v>
      </c>
      <c r="P75" s="17">
        <f t="shared" si="15"/>
        <v>1.4160000000000015</v>
      </c>
      <c r="Q75" s="3">
        <f t="shared" si="16"/>
        <v>-183.91199999999998</v>
      </c>
      <c r="R75" s="3">
        <f t="shared" si="23"/>
        <v>-3.9119999999999777</v>
      </c>
      <c r="S75" s="3">
        <f t="shared" si="24"/>
        <v>356.08800000000002</v>
      </c>
      <c r="T75" s="27">
        <f t="shared" si="25"/>
        <v>-3.9119999999999777</v>
      </c>
      <c r="U75" s="17">
        <f t="shared" si="17"/>
        <v>-0.48312162162160188</v>
      </c>
      <c r="V75" s="27">
        <f t="shared" si="18"/>
        <v>-2.2134999999999998</v>
      </c>
    </row>
    <row r="76" spans="1:22" s="11" customFormat="1" ht="19" thickBot="1">
      <c r="A76" s="11">
        <v>-150</v>
      </c>
      <c r="B76" s="18">
        <f t="shared" si="13"/>
        <v>180</v>
      </c>
      <c r="C76" s="11">
        <v>121.065</v>
      </c>
      <c r="D76" s="11">
        <v>124.03</v>
      </c>
      <c r="E76" s="11">
        <f t="shared" si="19"/>
        <v>114.905</v>
      </c>
      <c r="F76" s="26">
        <f>360-(114.885+D76+C76)</f>
        <v>1.999999999998181E-2</v>
      </c>
      <c r="G76" s="31">
        <v>1.343</v>
      </c>
      <c r="H76" s="13">
        <v>2.5960000000000001</v>
      </c>
      <c r="I76" s="13">
        <v>-3.9239999999999999</v>
      </c>
      <c r="J76" s="13">
        <v>-178.98</v>
      </c>
      <c r="K76" s="22">
        <v>177.61199999999999</v>
      </c>
      <c r="L76" s="11">
        <f t="shared" si="14"/>
        <v>181.57599999999999</v>
      </c>
      <c r="M76" s="11">
        <f t="shared" si="20"/>
        <v>361.57600000000002</v>
      </c>
      <c r="N76" s="11">
        <f t="shared" si="21"/>
        <v>1.5760000000000218</v>
      </c>
      <c r="O76" s="28">
        <f t="shared" si="22"/>
        <v>1.5760000000000218</v>
      </c>
      <c r="P76" s="18">
        <f t="shared" si="15"/>
        <v>1.0510000000000208</v>
      </c>
      <c r="Q76" s="11">
        <f t="shared" si="16"/>
        <v>175.05599999999998</v>
      </c>
      <c r="R76" s="11">
        <f t="shared" si="23"/>
        <v>355.05599999999998</v>
      </c>
      <c r="S76" s="11">
        <f t="shared" si="24"/>
        <v>355.05599999999998</v>
      </c>
      <c r="T76" s="28">
        <f t="shared" si="25"/>
        <v>-4.9440000000000168</v>
      </c>
      <c r="U76" s="18">
        <f t="shared" si="17"/>
        <v>-1.515121621621641</v>
      </c>
      <c r="V76" s="28">
        <f t="shared" si="18"/>
        <v>-0.66399999999999992</v>
      </c>
    </row>
    <row r="77" spans="1:22" s="5" customFormat="1" ht="19" thickTop="1">
      <c r="A77" s="5">
        <v>-120</v>
      </c>
      <c r="B77" s="17">
        <v>-180</v>
      </c>
      <c r="C77" s="5">
        <v>121.69799999999999</v>
      </c>
      <c r="D77" s="5">
        <v>123.94799999999999</v>
      </c>
      <c r="E77" s="5">
        <f t="shared" si="19"/>
        <v>114.35400000000001</v>
      </c>
      <c r="F77" s="25">
        <f>360-(114.323+D77+C77)</f>
        <v>3.1000000000005912E-2</v>
      </c>
      <c r="G77" s="30">
        <v>1.3460000000000001</v>
      </c>
      <c r="H77" s="7">
        <v>2.04</v>
      </c>
      <c r="I77" s="7">
        <v>-4.6260000000000003</v>
      </c>
      <c r="J77" s="6" t="s">
        <v>107</v>
      </c>
      <c r="K77" s="17">
        <v>177.39099999999999</v>
      </c>
      <c r="L77" s="3">
        <f t="shared" si="14"/>
        <v>182.01599999999999</v>
      </c>
      <c r="M77" s="3">
        <f t="shared" si="20"/>
        <v>362.01599999999996</v>
      </c>
      <c r="N77" s="3">
        <f t="shared" si="21"/>
        <v>2.0159999999999627</v>
      </c>
      <c r="O77" s="27">
        <f t="shared" si="22"/>
        <v>2.0159999999999627</v>
      </c>
      <c r="P77" s="17">
        <f t="shared" si="15"/>
        <v>1.4909999999999617</v>
      </c>
      <c r="Q77" s="3">
        <f t="shared" si="16"/>
        <v>175.35</v>
      </c>
      <c r="R77" s="3">
        <f t="shared" si="23"/>
        <v>355.35</v>
      </c>
      <c r="S77" s="3">
        <f t="shared" si="24"/>
        <v>355.35</v>
      </c>
      <c r="T77" s="27">
        <f t="shared" si="25"/>
        <v>-4.6499999999999773</v>
      </c>
      <c r="U77" s="17">
        <f t="shared" si="17"/>
        <v>-1.2211216216216014</v>
      </c>
      <c r="V77" s="27">
        <f t="shared" si="18"/>
        <v>-1.2930000000000001</v>
      </c>
    </row>
    <row r="78" spans="1:22" s="5" customFormat="1">
      <c r="A78" s="5">
        <v>-120</v>
      </c>
      <c r="B78" s="17">
        <f>B77+10</f>
        <v>-170</v>
      </c>
      <c r="C78" s="5">
        <v>121.961</v>
      </c>
      <c r="D78" s="5">
        <v>123.884</v>
      </c>
      <c r="E78" s="5">
        <f t="shared" si="19"/>
        <v>114.155</v>
      </c>
      <c r="F78" s="25">
        <f>360-(114.154+D78+C78)</f>
        <v>9.9999999997635314E-4</v>
      </c>
      <c r="G78" s="30">
        <v>1.347</v>
      </c>
      <c r="H78" s="7">
        <v>4.2489999999999997</v>
      </c>
      <c r="I78" s="7">
        <v>-2.2839999999999998</v>
      </c>
      <c r="J78" s="6" t="s">
        <v>108</v>
      </c>
      <c r="K78" s="17">
        <v>178.197</v>
      </c>
      <c r="L78" s="3">
        <f t="shared" si="14"/>
        <v>180.48099999999999</v>
      </c>
      <c r="M78" s="3">
        <f t="shared" si="20"/>
        <v>360.48099999999999</v>
      </c>
      <c r="N78" s="3">
        <f t="shared" si="21"/>
        <v>0.48099999999999454</v>
      </c>
      <c r="O78" s="27">
        <f t="shared" si="22"/>
        <v>0.48099999999999454</v>
      </c>
      <c r="P78" s="17">
        <f t="shared" si="15"/>
        <v>-4.4000000000006478E-2</v>
      </c>
      <c r="Q78" s="3">
        <f t="shared" si="16"/>
        <v>173.94800000000001</v>
      </c>
      <c r="R78" s="3">
        <f t="shared" si="23"/>
        <v>353.94799999999998</v>
      </c>
      <c r="S78" s="3">
        <f t="shared" si="24"/>
        <v>353.94799999999998</v>
      </c>
      <c r="T78" s="27">
        <f t="shared" si="25"/>
        <v>-6.0520000000000209</v>
      </c>
      <c r="U78" s="17">
        <f t="shared" si="17"/>
        <v>-2.6231216216216451</v>
      </c>
      <c r="V78" s="27">
        <f t="shared" si="18"/>
        <v>0.98249999999999993</v>
      </c>
    </row>
    <row r="79" spans="1:22" s="5" customFormat="1">
      <c r="A79" s="5">
        <v>-120</v>
      </c>
      <c r="B79" s="17">
        <f t="shared" ref="B79:B94" si="26">B78+10</f>
        <v>-160</v>
      </c>
      <c r="C79" s="5">
        <v>121.85599999999999</v>
      </c>
      <c r="D79" s="5">
        <v>123.90900000000001</v>
      </c>
      <c r="E79" s="5">
        <f t="shared" si="19"/>
        <v>114.23500000000001</v>
      </c>
      <c r="F79" s="25">
        <f>360-(114.233+D79+C79)</f>
        <v>2.0000000000095497E-3</v>
      </c>
      <c r="G79" s="30">
        <v>1.3480000000000001</v>
      </c>
      <c r="H79" s="7">
        <v>3.7810000000000001</v>
      </c>
      <c r="I79" s="7">
        <v>-0.11899999999999999</v>
      </c>
      <c r="J79" s="6" t="s">
        <v>109</v>
      </c>
      <c r="K79" s="17">
        <v>179.35499999999999</v>
      </c>
      <c r="L79" s="3">
        <f t="shared" si="14"/>
        <v>179.47400000000002</v>
      </c>
      <c r="M79" s="3">
        <f t="shared" si="20"/>
        <v>359.47400000000005</v>
      </c>
      <c r="N79" s="3">
        <f t="shared" si="21"/>
        <v>359.47400000000005</v>
      </c>
      <c r="O79" s="27">
        <f t="shared" si="22"/>
        <v>-0.52599999999995362</v>
      </c>
      <c r="P79" s="17">
        <f t="shared" si="15"/>
        <v>-1.0509999999999546</v>
      </c>
      <c r="Q79" s="3">
        <f t="shared" si="16"/>
        <v>175.57400000000001</v>
      </c>
      <c r="R79" s="3">
        <f t="shared" si="23"/>
        <v>355.57400000000001</v>
      </c>
      <c r="S79" s="3">
        <f t="shared" si="24"/>
        <v>355.57400000000001</v>
      </c>
      <c r="T79" s="27">
        <f t="shared" si="25"/>
        <v>-4.4259999999999877</v>
      </c>
      <c r="U79" s="17">
        <f t="shared" si="17"/>
        <v>-0.99712162162161189</v>
      </c>
      <c r="V79" s="27">
        <f t="shared" si="18"/>
        <v>1.831</v>
      </c>
    </row>
    <row r="80" spans="1:22" s="5" customFormat="1">
      <c r="A80" s="5">
        <v>-120</v>
      </c>
      <c r="B80" s="17">
        <f t="shared" si="26"/>
        <v>-150</v>
      </c>
      <c r="C80" s="5">
        <v>121.626</v>
      </c>
      <c r="D80" s="5">
        <v>123.831</v>
      </c>
      <c r="E80" s="5">
        <f t="shared" si="19"/>
        <v>114.54300000000001</v>
      </c>
      <c r="F80" s="25">
        <f>360-(114.538+D80+C80)</f>
        <v>4.9999999999954525E-3</v>
      </c>
      <c r="G80" s="30">
        <v>1.347</v>
      </c>
      <c r="H80" s="7">
        <v>4.3609999999999998</v>
      </c>
      <c r="I80" s="7">
        <v>0.17299999999999999</v>
      </c>
      <c r="J80" s="6" t="s">
        <v>110</v>
      </c>
      <c r="K80" s="17">
        <v>179.40600000000001</v>
      </c>
      <c r="L80" s="3">
        <f t="shared" si="14"/>
        <v>179.232</v>
      </c>
      <c r="M80" s="3">
        <f t="shared" si="20"/>
        <v>359.23199999999997</v>
      </c>
      <c r="N80" s="3">
        <f t="shared" si="21"/>
        <v>359.23199999999997</v>
      </c>
      <c r="O80" s="27">
        <f t="shared" si="22"/>
        <v>-0.7680000000000291</v>
      </c>
      <c r="P80" s="17">
        <f t="shared" si="15"/>
        <v>-1.2930000000000301</v>
      </c>
      <c r="Q80" s="3">
        <f t="shared" si="16"/>
        <v>175.04400000000001</v>
      </c>
      <c r="R80" s="3">
        <f t="shared" si="23"/>
        <v>355.04399999999998</v>
      </c>
      <c r="S80" s="3">
        <f t="shared" si="24"/>
        <v>355.04399999999998</v>
      </c>
      <c r="T80" s="27">
        <f t="shared" si="25"/>
        <v>-4.9560000000000173</v>
      </c>
      <c r="U80" s="17">
        <f t="shared" si="17"/>
        <v>-1.5271216216216414</v>
      </c>
      <c r="V80" s="27">
        <f t="shared" si="18"/>
        <v>2.2669999999999999</v>
      </c>
    </row>
    <row r="81" spans="1:22" s="5" customFormat="1">
      <c r="A81" s="5">
        <v>-120</v>
      </c>
      <c r="B81" s="17">
        <f t="shared" si="26"/>
        <v>-140</v>
      </c>
      <c r="C81" s="5">
        <v>121.29900000000001</v>
      </c>
      <c r="D81" s="5">
        <v>123.863</v>
      </c>
      <c r="E81" s="5">
        <f t="shared" si="19"/>
        <v>114.83799999999999</v>
      </c>
      <c r="F81" s="25">
        <f>360-(114.833+D81+C81)</f>
        <v>4.9999999999954525E-3</v>
      </c>
      <c r="G81" s="30">
        <v>1.3480000000000001</v>
      </c>
      <c r="H81" s="7">
        <v>5.423</v>
      </c>
      <c r="I81" s="7">
        <v>5.3999999999999999E-2</v>
      </c>
      <c r="J81" s="6" t="s">
        <v>111</v>
      </c>
      <c r="K81" s="17">
        <v>179.22800000000001</v>
      </c>
      <c r="L81" s="3">
        <f t="shared" si="14"/>
        <v>179.17500000000001</v>
      </c>
      <c r="M81" s="3">
        <f t="shared" si="20"/>
        <v>359.17500000000001</v>
      </c>
      <c r="N81" s="3">
        <f t="shared" si="21"/>
        <v>359.17500000000001</v>
      </c>
      <c r="O81" s="27">
        <f t="shared" si="22"/>
        <v>-0.82499999999998863</v>
      </c>
      <c r="P81" s="17">
        <f t="shared" si="15"/>
        <v>-1.3499999999999897</v>
      </c>
      <c r="Q81" s="3">
        <f t="shared" si="16"/>
        <v>173.80600000000001</v>
      </c>
      <c r="R81" s="3">
        <f t="shared" si="23"/>
        <v>353.80600000000004</v>
      </c>
      <c r="S81" s="3">
        <f t="shared" si="24"/>
        <v>353.80600000000004</v>
      </c>
      <c r="T81" s="27">
        <f t="shared" si="25"/>
        <v>-6.19399999999996</v>
      </c>
      <c r="U81" s="17">
        <f t="shared" si="17"/>
        <v>-2.7651216216215841</v>
      </c>
      <c r="V81" s="27">
        <f t="shared" si="18"/>
        <v>2.7385000000000002</v>
      </c>
    </row>
    <row r="82" spans="1:22" s="5" customFormat="1">
      <c r="A82" s="5">
        <v>-120</v>
      </c>
      <c r="B82" s="17">
        <f t="shared" si="26"/>
        <v>-130</v>
      </c>
      <c r="C82" s="5">
        <v>121.04600000000001</v>
      </c>
      <c r="D82" s="5">
        <v>123.68600000000001</v>
      </c>
      <c r="E82" s="5">
        <f t="shared" si="19"/>
        <v>115.26799999999997</v>
      </c>
      <c r="F82" s="25">
        <f>360-(115.268+D82+C82)</f>
        <v>0</v>
      </c>
      <c r="G82" s="30">
        <v>1.347</v>
      </c>
      <c r="H82" s="7">
        <v>4.9870000000000001</v>
      </c>
      <c r="I82" s="7">
        <v>-1.246</v>
      </c>
      <c r="J82" s="6" t="s">
        <v>112</v>
      </c>
      <c r="K82" s="17">
        <v>178.81399999999999</v>
      </c>
      <c r="L82" s="3">
        <f t="shared" si="14"/>
        <v>180.06</v>
      </c>
      <c r="M82" s="3">
        <f t="shared" si="20"/>
        <v>360.06</v>
      </c>
      <c r="N82" s="3">
        <f t="shared" si="21"/>
        <v>6.0000000000002274E-2</v>
      </c>
      <c r="O82" s="27">
        <f t="shared" si="22"/>
        <v>6.0000000000002274E-2</v>
      </c>
      <c r="P82" s="17">
        <f t="shared" si="15"/>
        <v>-0.46499999999999875</v>
      </c>
      <c r="Q82" s="3">
        <f t="shared" si="16"/>
        <v>173.827</v>
      </c>
      <c r="R82" s="3">
        <f t="shared" si="23"/>
        <v>353.827</v>
      </c>
      <c r="S82" s="3">
        <f t="shared" si="24"/>
        <v>353.827</v>
      </c>
      <c r="T82" s="27">
        <f t="shared" si="25"/>
        <v>-6.1730000000000018</v>
      </c>
      <c r="U82" s="17">
        <f t="shared" si="17"/>
        <v>-2.744121621621626</v>
      </c>
      <c r="V82" s="27">
        <f t="shared" si="18"/>
        <v>1.8705000000000001</v>
      </c>
    </row>
    <row r="83" spans="1:22" s="5" customFormat="1">
      <c r="A83" s="5">
        <v>-120</v>
      </c>
      <c r="B83" s="17">
        <f t="shared" si="26"/>
        <v>-120</v>
      </c>
      <c r="C83" s="5">
        <v>120.82299999999999</v>
      </c>
      <c r="D83" s="5">
        <v>123.80500000000001</v>
      </c>
      <c r="E83" s="5">
        <f t="shared" si="19"/>
        <v>115.37200000000001</v>
      </c>
      <c r="F83" s="25">
        <f>360-(115.365+D83+C83)</f>
        <v>7.0000000000050022E-3</v>
      </c>
      <c r="G83" s="30">
        <v>1.3480000000000001</v>
      </c>
      <c r="H83" s="7">
        <v>3.331</v>
      </c>
      <c r="I83" s="7">
        <v>-2.133</v>
      </c>
      <c r="J83" s="6" t="s">
        <v>113</v>
      </c>
      <c r="K83" s="17">
        <v>178.773</v>
      </c>
      <c r="L83" s="3">
        <f t="shared" si="14"/>
        <v>180.90599999999998</v>
      </c>
      <c r="M83" s="3">
        <f t="shared" si="20"/>
        <v>360.90599999999995</v>
      </c>
      <c r="N83" s="3">
        <f t="shared" si="21"/>
        <v>0.90599999999994907</v>
      </c>
      <c r="O83" s="27">
        <f t="shared" si="22"/>
        <v>0.90599999999994907</v>
      </c>
      <c r="P83" s="17">
        <f t="shared" si="15"/>
        <v>0.38099999999994805</v>
      </c>
      <c r="Q83" s="3">
        <f t="shared" si="16"/>
        <v>175.44199999999998</v>
      </c>
      <c r="R83" s="3">
        <f t="shared" si="23"/>
        <v>355.44200000000001</v>
      </c>
      <c r="S83" s="3">
        <f t="shared" si="24"/>
        <v>355.44200000000001</v>
      </c>
      <c r="T83" s="27">
        <f t="shared" si="25"/>
        <v>-4.5579999999999927</v>
      </c>
      <c r="U83" s="17">
        <f t="shared" si="17"/>
        <v>-1.1291216216216169</v>
      </c>
      <c r="V83" s="27">
        <f t="shared" si="18"/>
        <v>0.59899999999999998</v>
      </c>
    </row>
    <row r="84" spans="1:22" s="5" customFormat="1">
      <c r="A84" s="5">
        <v>-120</v>
      </c>
      <c r="B84" s="17">
        <f t="shared" si="26"/>
        <v>-110</v>
      </c>
      <c r="C84" s="5">
        <v>120.81</v>
      </c>
      <c r="D84" s="5">
        <v>123.69199999999999</v>
      </c>
      <c r="E84" s="5">
        <f t="shared" si="19"/>
        <v>115.49799999999999</v>
      </c>
      <c r="F84" s="25">
        <f>360-(115.473+D84+C84)</f>
        <v>2.4999999999977263E-2</v>
      </c>
      <c r="G84" s="30">
        <v>1.347</v>
      </c>
      <c r="H84" s="7">
        <v>2.7530000000000001</v>
      </c>
      <c r="I84" s="7">
        <v>-3.8519999999999999</v>
      </c>
      <c r="J84" s="6" t="s">
        <v>114</v>
      </c>
      <c r="K84" s="17">
        <v>177.95400000000001</v>
      </c>
      <c r="L84" s="3">
        <f t="shared" si="14"/>
        <v>181.80599999999998</v>
      </c>
      <c r="M84" s="3">
        <f t="shared" si="20"/>
        <v>361.80599999999998</v>
      </c>
      <c r="N84" s="3">
        <f t="shared" si="21"/>
        <v>1.8059999999999832</v>
      </c>
      <c r="O84" s="27">
        <f t="shared" si="22"/>
        <v>1.8059999999999832</v>
      </c>
      <c r="P84" s="17">
        <f t="shared" si="15"/>
        <v>1.2809999999999822</v>
      </c>
      <c r="Q84" s="3">
        <f t="shared" si="16"/>
        <v>175.20099999999999</v>
      </c>
      <c r="R84" s="3">
        <f t="shared" si="23"/>
        <v>355.20100000000002</v>
      </c>
      <c r="S84" s="3">
        <f t="shared" si="24"/>
        <v>355.20100000000002</v>
      </c>
      <c r="T84" s="27">
        <f t="shared" si="25"/>
        <v>-4.7989999999999782</v>
      </c>
      <c r="U84" s="17">
        <f t="shared" si="17"/>
        <v>-1.3701216216216023</v>
      </c>
      <c r="V84" s="27">
        <f t="shared" si="18"/>
        <v>-0.54949999999999988</v>
      </c>
    </row>
    <row r="85" spans="1:22" s="5" customFormat="1">
      <c r="A85" s="5">
        <v>-120</v>
      </c>
      <c r="B85" s="17">
        <f t="shared" si="26"/>
        <v>-100</v>
      </c>
      <c r="C85" s="5">
        <v>120.91200000000001</v>
      </c>
      <c r="D85" s="5">
        <v>123.753</v>
      </c>
      <c r="E85" s="5">
        <f t="shared" si="19"/>
        <v>115.33499999999998</v>
      </c>
      <c r="F85" s="25">
        <f>360-(115.289+D85+C85)</f>
        <v>4.5999999999992269E-2</v>
      </c>
      <c r="G85" s="30">
        <v>1.347</v>
      </c>
      <c r="H85" s="7">
        <v>2.1840000000000002</v>
      </c>
      <c r="I85" s="7">
        <v>-5.3</v>
      </c>
      <c r="J85" s="7">
        <v>179.744</v>
      </c>
      <c r="K85" s="17">
        <v>177.14099999999999</v>
      </c>
      <c r="L85" s="3">
        <f t="shared" si="14"/>
        <v>-177.56</v>
      </c>
      <c r="M85" s="3">
        <f t="shared" si="20"/>
        <v>2.4399999999999977</v>
      </c>
      <c r="N85" s="3">
        <f t="shared" si="21"/>
        <v>2.4399999999999977</v>
      </c>
      <c r="O85" s="27">
        <f t="shared" si="22"/>
        <v>2.4399999999999977</v>
      </c>
      <c r="P85" s="17">
        <f t="shared" si="15"/>
        <v>1.9149999999999967</v>
      </c>
      <c r="Q85" s="3">
        <f t="shared" si="16"/>
        <v>-185.04400000000001</v>
      </c>
      <c r="R85" s="3">
        <f t="shared" si="23"/>
        <v>-5.0440000000000111</v>
      </c>
      <c r="S85" s="3">
        <f t="shared" si="24"/>
        <v>354.95600000000002</v>
      </c>
      <c r="T85" s="27">
        <f t="shared" si="25"/>
        <v>-5.0439999999999827</v>
      </c>
      <c r="U85" s="17">
        <f t="shared" si="17"/>
        <v>-1.6151216216216069</v>
      </c>
      <c r="V85" s="27">
        <f t="shared" si="18"/>
        <v>-1.5579999999999998</v>
      </c>
    </row>
    <row r="86" spans="1:22" s="5" customFormat="1">
      <c r="A86" s="5">
        <v>-120</v>
      </c>
      <c r="B86" s="17">
        <f t="shared" si="26"/>
        <v>-90</v>
      </c>
      <c r="C86" s="5">
        <v>120.994</v>
      </c>
      <c r="D86" s="5">
        <v>123.658</v>
      </c>
      <c r="E86" s="5">
        <f t="shared" si="19"/>
        <v>115.34800000000001</v>
      </c>
      <c r="F86" s="25">
        <f>360-(115.289+D86+C86)</f>
        <v>5.8999999999969077E-2</v>
      </c>
      <c r="G86" s="30">
        <v>1.347</v>
      </c>
      <c r="H86" s="7">
        <v>1.4670000000000001</v>
      </c>
      <c r="I86" s="7">
        <v>-7.0049999999999999</v>
      </c>
      <c r="J86" s="7">
        <v>178.69499999999999</v>
      </c>
      <c r="K86" s="17">
        <v>175.767</v>
      </c>
      <c r="L86" s="3">
        <f t="shared" si="14"/>
        <v>-177.22799999999998</v>
      </c>
      <c r="M86" s="3">
        <f t="shared" si="20"/>
        <v>2.7720000000000198</v>
      </c>
      <c r="N86" s="3">
        <f t="shared" si="21"/>
        <v>2.7720000000000198</v>
      </c>
      <c r="O86" s="27">
        <f t="shared" si="22"/>
        <v>2.7720000000000198</v>
      </c>
      <c r="P86" s="17">
        <f t="shared" si="15"/>
        <v>2.2470000000000185</v>
      </c>
      <c r="Q86" s="3">
        <f t="shared" si="16"/>
        <v>-185.7</v>
      </c>
      <c r="R86" s="3">
        <f t="shared" si="23"/>
        <v>-5.6999999999999886</v>
      </c>
      <c r="S86" s="3">
        <f t="shared" si="24"/>
        <v>354.3</v>
      </c>
      <c r="T86" s="27">
        <f t="shared" si="25"/>
        <v>-5.6999999999999886</v>
      </c>
      <c r="U86" s="17">
        <f t="shared" si="17"/>
        <v>-2.2711216216216128</v>
      </c>
      <c r="V86" s="27">
        <f t="shared" si="18"/>
        <v>-2.7690000000000001</v>
      </c>
    </row>
    <row r="87" spans="1:22" s="5" customFormat="1">
      <c r="A87" s="5">
        <v>-120</v>
      </c>
      <c r="B87" s="17">
        <f t="shared" si="26"/>
        <v>-80</v>
      </c>
      <c r="C87" s="5">
        <v>121.10299999999999</v>
      </c>
      <c r="D87" s="5">
        <v>123.53100000000001</v>
      </c>
      <c r="E87" s="5">
        <f t="shared" si="19"/>
        <v>115.36599999999999</v>
      </c>
      <c r="F87" s="25">
        <f>360-(115.306+D87+C87)</f>
        <v>6.0000000000002274E-2</v>
      </c>
      <c r="G87" s="30">
        <v>1.3480000000000001</v>
      </c>
      <c r="H87" s="7">
        <v>1.7909999999999999</v>
      </c>
      <c r="I87" s="7">
        <v>-9.0540000000000003</v>
      </c>
      <c r="J87" s="7">
        <v>178.982</v>
      </c>
      <c r="K87" s="17">
        <v>173.75399999999999</v>
      </c>
      <c r="L87" s="3">
        <f t="shared" si="14"/>
        <v>-177.191</v>
      </c>
      <c r="M87" s="3">
        <f t="shared" si="20"/>
        <v>2.8089999999999975</v>
      </c>
      <c r="N87" s="3">
        <f t="shared" si="21"/>
        <v>2.8089999999999975</v>
      </c>
      <c r="O87" s="27">
        <f t="shared" si="22"/>
        <v>2.8089999999999975</v>
      </c>
      <c r="P87" s="17">
        <f t="shared" si="15"/>
        <v>2.2839999999999963</v>
      </c>
      <c r="Q87" s="3">
        <f t="shared" si="16"/>
        <v>-188.036</v>
      </c>
      <c r="R87" s="3">
        <f t="shared" si="23"/>
        <v>-8.0360000000000014</v>
      </c>
      <c r="S87" s="3">
        <f t="shared" si="24"/>
        <v>351.964</v>
      </c>
      <c r="T87" s="27">
        <f t="shared" si="25"/>
        <v>-8.0360000000000014</v>
      </c>
      <c r="U87" s="17">
        <f t="shared" si="17"/>
        <v>-4.6071216216216255</v>
      </c>
      <c r="V87" s="27">
        <f t="shared" si="18"/>
        <v>-3.6315</v>
      </c>
    </row>
    <row r="88" spans="1:22" s="5" customFormat="1">
      <c r="A88" s="5">
        <v>-120</v>
      </c>
      <c r="B88" s="17">
        <f t="shared" si="26"/>
        <v>-70</v>
      </c>
      <c r="C88" s="5">
        <v>120.96299999999999</v>
      </c>
      <c r="D88" s="5">
        <v>123.41800000000001</v>
      </c>
      <c r="E88" s="5">
        <f t="shared" si="19"/>
        <v>115.619</v>
      </c>
      <c r="F88" s="25">
        <f>360-(115.588+D88+C88)</f>
        <v>3.1000000000005912E-2</v>
      </c>
      <c r="G88" s="30">
        <v>1.3480000000000001</v>
      </c>
      <c r="H88" s="7">
        <v>0.86099999999999999</v>
      </c>
      <c r="I88" s="7">
        <v>-9.0589999999999993</v>
      </c>
      <c r="J88" s="7">
        <v>178.85</v>
      </c>
      <c r="K88" s="17">
        <v>172.952</v>
      </c>
      <c r="L88" s="3">
        <f t="shared" si="14"/>
        <v>-177.989</v>
      </c>
      <c r="M88" s="3">
        <f t="shared" si="20"/>
        <v>2.0109999999999957</v>
      </c>
      <c r="N88" s="3">
        <f t="shared" si="21"/>
        <v>2.0109999999999957</v>
      </c>
      <c r="O88" s="27">
        <f t="shared" si="22"/>
        <v>2.0109999999999957</v>
      </c>
      <c r="P88" s="17">
        <f t="shared" si="15"/>
        <v>1.4859999999999947</v>
      </c>
      <c r="Q88" s="3">
        <f t="shared" si="16"/>
        <v>-187.90899999999999</v>
      </c>
      <c r="R88" s="3">
        <f t="shared" si="23"/>
        <v>-7.9089999999999918</v>
      </c>
      <c r="S88" s="3">
        <f t="shared" si="24"/>
        <v>352.09100000000001</v>
      </c>
      <c r="T88" s="27">
        <f t="shared" si="25"/>
        <v>-7.9089999999999918</v>
      </c>
      <c r="U88" s="17">
        <f t="shared" si="17"/>
        <v>-4.480121621621616</v>
      </c>
      <c r="V88" s="27">
        <f t="shared" si="18"/>
        <v>-4.0989999999999993</v>
      </c>
    </row>
    <row r="89" spans="1:22" s="5" customFormat="1">
      <c r="A89" s="5">
        <v>-120</v>
      </c>
      <c r="B89" s="17">
        <f t="shared" si="26"/>
        <v>-60</v>
      </c>
      <c r="C89" s="5">
        <v>120.676</v>
      </c>
      <c r="D89" s="5">
        <v>123.437</v>
      </c>
      <c r="E89" s="5">
        <f t="shared" si="19"/>
        <v>115.887</v>
      </c>
      <c r="F89" s="25">
        <f>360-(115.887+D89+C89)</f>
        <v>0</v>
      </c>
      <c r="G89" s="30">
        <v>1.3480000000000001</v>
      </c>
      <c r="H89" s="7">
        <v>0.71899999999999997</v>
      </c>
      <c r="I89" s="7">
        <v>-7.1550000000000002</v>
      </c>
      <c r="J89" s="6" t="s">
        <v>115</v>
      </c>
      <c r="K89" s="17">
        <v>173.124</v>
      </c>
      <c r="L89" s="3">
        <f t="shared" si="14"/>
        <v>180.279</v>
      </c>
      <c r="M89" s="3">
        <f t="shared" si="20"/>
        <v>360.279</v>
      </c>
      <c r="N89" s="3">
        <f t="shared" si="21"/>
        <v>0.27899999999999636</v>
      </c>
      <c r="O89" s="27">
        <f t="shared" si="22"/>
        <v>0.27899999999999636</v>
      </c>
      <c r="P89" s="17">
        <f t="shared" si="15"/>
        <v>-0.24600000000000466</v>
      </c>
      <c r="Q89" s="3">
        <f t="shared" si="16"/>
        <v>172.405</v>
      </c>
      <c r="R89" s="3">
        <f t="shared" si="23"/>
        <v>352.40499999999997</v>
      </c>
      <c r="S89" s="3">
        <f t="shared" si="24"/>
        <v>352.40499999999997</v>
      </c>
      <c r="T89" s="27">
        <f t="shared" si="25"/>
        <v>-7.5950000000000273</v>
      </c>
      <c r="U89" s="17">
        <f t="shared" si="17"/>
        <v>-4.1661216216216514</v>
      </c>
      <c r="V89" s="27">
        <f t="shared" si="18"/>
        <v>-3.218</v>
      </c>
    </row>
    <row r="90" spans="1:22" s="5" customFormat="1">
      <c r="A90" s="5">
        <v>-120</v>
      </c>
      <c r="B90" s="17">
        <f t="shared" si="26"/>
        <v>-50</v>
      </c>
      <c r="C90" s="5">
        <v>120.001</v>
      </c>
      <c r="D90" s="5">
        <v>123.39400000000001</v>
      </c>
      <c r="E90" s="5">
        <f t="shared" si="19"/>
        <v>116.60499999999999</v>
      </c>
      <c r="F90" s="25">
        <f>360-(116.573+D90+C90)</f>
        <v>3.2000000000039108E-2</v>
      </c>
      <c r="G90" s="30">
        <v>1.347</v>
      </c>
      <c r="H90" s="6" t="s">
        <v>117</v>
      </c>
      <c r="I90" s="6">
        <v>-1.4770000000000001</v>
      </c>
      <c r="J90" s="6" t="s">
        <v>116</v>
      </c>
      <c r="K90" s="17">
        <v>176.49299999999999</v>
      </c>
      <c r="L90" s="3">
        <f t="shared" si="14"/>
        <v>177.96900000000002</v>
      </c>
      <c r="M90" s="3">
        <f t="shared" si="20"/>
        <v>357.96900000000005</v>
      </c>
      <c r="N90" s="3">
        <f t="shared" si="21"/>
        <v>357.96900000000005</v>
      </c>
      <c r="O90" s="27">
        <f t="shared" si="22"/>
        <v>-2.0309999999999491</v>
      </c>
      <c r="P90" s="17">
        <f t="shared" si="15"/>
        <v>-2.5559999999999503</v>
      </c>
      <c r="Q90" s="3">
        <f t="shared" si="16"/>
        <v>177.495</v>
      </c>
      <c r="R90" s="3">
        <f t="shared" si="23"/>
        <v>357.495</v>
      </c>
      <c r="S90" s="3">
        <f t="shared" si="24"/>
        <v>357.495</v>
      </c>
      <c r="T90" s="27">
        <f t="shared" si="25"/>
        <v>-2.5049999999999955</v>
      </c>
      <c r="U90" s="17">
        <f t="shared" si="17"/>
        <v>0.92387837837838038</v>
      </c>
      <c r="V90" s="27">
        <f t="shared" si="18"/>
        <v>-1.24</v>
      </c>
    </row>
    <row r="91" spans="1:22" s="5" customFormat="1">
      <c r="A91" s="5">
        <v>-120</v>
      </c>
      <c r="B91" s="17">
        <f t="shared" si="26"/>
        <v>-40</v>
      </c>
      <c r="C91" s="5">
        <v>119.468</v>
      </c>
      <c r="D91" s="5">
        <v>123.358</v>
      </c>
      <c r="E91" s="5">
        <f t="shared" si="19"/>
        <v>117.17399999999998</v>
      </c>
      <c r="F91" s="25">
        <f>360-(117.082+D91+C91)</f>
        <v>9.1999999999984539E-2</v>
      </c>
      <c r="G91" s="30">
        <v>1.345</v>
      </c>
      <c r="H91" s="6" t="s">
        <v>119</v>
      </c>
      <c r="I91" s="6">
        <v>3.3519999999999999</v>
      </c>
      <c r="J91" s="6" t="s">
        <v>118</v>
      </c>
      <c r="K91" s="17">
        <v>179.83600000000001</v>
      </c>
      <c r="L91" s="3">
        <f t="shared" si="14"/>
        <v>176.48499999999999</v>
      </c>
      <c r="M91" s="3">
        <f t="shared" si="20"/>
        <v>356.48500000000001</v>
      </c>
      <c r="N91" s="3">
        <f t="shared" si="21"/>
        <v>356.48500000000001</v>
      </c>
      <c r="O91" s="27">
        <f t="shared" si="22"/>
        <v>-3.5149999999999864</v>
      </c>
      <c r="P91" s="17">
        <f t="shared" si="15"/>
        <v>-4.0399999999999876</v>
      </c>
      <c r="Q91" s="3">
        <f t="shared" si="16"/>
        <v>181.89699999999999</v>
      </c>
      <c r="R91" s="3">
        <f t="shared" si="23"/>
        <v>361.89699999999999</v>
      </c>
      <c r="S91" s="3">
        <f t="shared" si="24"/>
        <v>1.8969999999999914</v>
      </c>
      <c r="T91" s="27">
        <f t="shared" si="25"/>
        <v>1.8969999999999914</v>
      </c>
      <c r="U91" s="17">
        <f t="shared" si="17"/>
        <v>5.3258783783783672</v>
      </c>
      <c r="V91" s="27">
        <f t="shared" si="18"/>
        <v>0.64599999999999991</v>
      </c>
    </row>
    <row r="92" spans="1:22" s="5" customFormat="1">
      <c r="A92" s="5">
        <v>-120</v>
      </c>
      <c r="B92" s="17">
        <f t="shared" si="26"/>
        <v>-30</v>
      </c>
      <c r="C92" s="5">
        <v>119.033</v>
      </c>
      <c r="D92" s="5">
        <v>123.798</v>
      </c>
      <c r="E92" s="5">
        <f t="shared" si="19"/>
        <v>117.16899999999998</v>
      </c>
      <c r="F92" s="25">
        <f>360-(116.997+D92+C92)</f>
        <v>0.17199999999996862</v>
      </c>
      <c r="G92" s="30">
        <v>1.345</v>
      </c>
      <c r="H92" s="6" t="s">
        <v>121</v>
      </c>
      <c r="I92" s="6">
        <v>8.3770000000000007</v>
      </c>
      <c r="J92" s="6" t="s">
        <v>120</v>
      </c>
      <c r="K92" s="17">
        <v>176.44200000000001</v>
      </c>
      <c r="L92" s="3">
        <f t="shared" si="14"/>
        <v>175.18100000000001</v>
      </c>
      <c r="M92" s="3">
        <f t="shared" si="20"/>
        <v>355.18100000000004</v>
      </c>
      <c r="N92" s="3">
        <f t="shared" si="21"/>
        <v>355.18100000000004</v>
      </c>
      <c r="O92" s="27">
        <f t="shared" si="22"/>
        <v>-4.81899999999996</v>
      </c>
      <c r="P92" s="17">
        <f t="shared" si="15"/>
        <v>-5.3439999999999612</v>
      </c>
      <c r="Q92" s="3">
        <f t="shared" si="16"/>
        <v>185.29500000000002</v>
      </c>
      <c r="R92" s="3">
        <f t="shared" si="23"/>
        <v>365.29500000000002</v>
      </c>
      <c r="S92" s="3">
        <f t="shared" si="24"/>
        <v>5.2950000000000159</v>
      </c>
      <c r="T92" s="27">
        <f t="shared" si="25"/>
        <v>5.2950000000000159</v>
      </c>
      <c r="U92" s="17">
        <f t="shared" si="17"/>
        <v>8.7238783783783909</v>
      </c>
      <c r="V92" s="27">
        <f t="shared" si="18"/>
        <v>3.3200000000000003</v>
      </c>
    </row>
    <row r="93" spans="1:22" s="5" customFormat="1">
      <c r="A93" s="5">
        <v>-120</v>
      </c>
      <c r="B93" s="17">
        <f t="shared" si="26"/>
        <v>-20</v>
      </c>
      <c r="C93" s="5">
        <v>118.821</v>
      </c>
      <c r="D93" s="5">
        <v>123.875</v>
      </c>
      <c r="E93" s="5">
        <f t="shared" si="19"/>
        <v>117.304</v>
      </c>
      <c r="F93" s="25">
        <f>360-(117.196+D93+C93)</f>
        <v>0.10800000000000409</v>
      </c>
      <c r="G93" s="30">
        <v>1.3440000000000001</v>
      </c>
      <c r="H93" s="6" t="s">
        <v>123</v>
      </c>
      <c r="I93" s="6">
        <v>6.9</v>
      </c>
      <c r="J93" s="6" t="s">
        <v>122</v>
      </c>
      <c r="K93" s="17">
        <v>176.92</v>
      </c>
      <c r="L93" s="3">
        <f t="shared" si="14"/>
        <v>176.18</v>
      </c>
      <c r="M93" s="3">
        <f t="shared" si="20"/>
        <v>356.18</v>
      </c>
      <c r="N93" s="3">
        <f t="shared" si="21"/>
        <v>356.18</v>
      </c>
      <c r="O93" s="27">
        <f t="shared" si="22"/>
        <v>-3.8199999999999932</v>
      </c>
      <c r="P93" s="17">
        <f t="shared" si="15"/>
        <v>-4.3449999999999944</v>
      </c>
      <c r="Q93" s="3">
        <f t="shared" si="16"/>
        <v>184.50200000000001</v>
      </c>
      <c r="R93" s="3">
        <f t="shared" si="23"/>
        <v>364.50200000000001</v>
      </c>
      <c r="S93" s="3">
        <f t="shared" si="24"/>
        <v>4.5020000000000095</v>
      </c>
      <c r="T93" s="27">
        <f t="shared" si="25"/>
        <v>4.5020000000000095</v>
      </c>
      <c r="U93" s="17">
        <f t="shared" si="17"/>
        <v>7.9308783783783854</v>
      </c>
      <c r="V93" s="27">
        <f t="shared" si="18"/>
        <v>2.7390000000000003</v>
      </c>
    </row>
    <row r="94" spans="1:22" s="5" customFormat="1">
      <c r="A94" s="5">
        <v>-120</v>
      </c>
      <c r="B94" s="17">
        <f t="shared" si="26"/>
        <v>-10</v>
      </c>
      <c r="C94" s="5">
        <v>118.593</v>
      </c>
      <c r="D94" s="5">
        <v>124.23699999999999</v>
      </c>
      <c r="E94" s="5">
        <f t="shared" si="19"/>
        <v>117.17000000000002</v>
      </c>
      <c r="F94" s="25">
        <f>360-(117.113+D94+C94)</f>
        <v>5.7000000000016371E-2</v>
      </c>
      <c r="G94" s="30">
        <v>1.343</v>
      </c>
      <c r="H94" s="6" t="s">
        <v>125</v>
      </c>
      <c r="I94" s="6">
        <v>6.242</v>
      </c>
      <c r="J94" s="6" t="s">
        <v>124</v>
      </c>
      <c r="K94" s="17">
        <v>176.53299999999999</v>
      </c>
      <c r="L94" s="3">
        <f t="shared" si="14"/>
        <v>177.22499999999999</v>
      </c>
      <c r="M94" s="3">
        <f t="shared" si="20"/>
        <v>357.22500000000002</v>
      </c>
      <c r="N94" s="3">
        <f t="shared" si="21"/>
        <v>357.22500000000002</v>
      </c>
      <c r="O94" s="27">
        <f t="shared" si="22"/>
        <v>-2.7749999999999773</v>
      </c>
      <c r="P94" s="17">
        <f t="shared" si="15"/>
        <v>-3.2999999999999785</v>
      </c>
      <c r="Q94" s="3">
        <f t="shared" si="16"/>
        <v>185.12899999999999</v>
      </c>
      <c r="R94" s="3">
        <f t="shared" si="23"/>
        <v>365.12900000000002</v>
      </c>
      <c r="S94" s="3">
        <f t="shared" si="24"/>
        <v>5.1290000000000191</v>
      </c>
      <c r="T94" s="27">
        <f t="shared" si="25"/>
        <v>5.1290000000000191</v>
      </c>
      <c r="U94" s="17">
        <f t="shared" si="17"/>
        <v>8.557878378378394</v>
      </c>
      <c r="V94" s="27">
        <f t="shared" si="18"/>
        <v>2.29</v>
      </c>
    </row>
    <row r="95" spans="1:22" s="5" customFormat="1">
      <c r="A95" s="5">
        <v>-120</v>
      </c>
      <c r="B95" s="17">
        <v>10</v>
      </c>
      <c r="C95" s="5">
        <v>118.834</v>
      </c>
      <c r="D95" s="5">
        <v>124.18300000000001</v>
      </c>
      <c r="E95" s="5">
        <f t="shared" si="19"/>
        <v>116.983</v>
      </c>
      <c r="F95" s="25">
        <f>360-(116.973+D95+C95)</f>
        <v>9.9999999999909051E-3</v>
      </c>
      <c r="G95" s="30">
        <v>1.3420000000000001</v>
      </c>
      <c r="H95" s="7">
        <v>0.95899999999999996</v>
      </c>
      <c r="I95" s="7">
        <v>-1.7949999999999999</v>
      </c>
      <c r="J95" s="6">
        <v>179.81100000000001</v>
      </c>
      <c r="K95" s="17">
        <v>179.352</v>
      </c>
      <c r="L95" s="3">
        <f t="shared" si="14"/>
        <v>-178.852</v>
      </c>
      <c r="M95" s="3">
        <f t="shared" si="20"/>
        <v>1.1479999999999961</v>
      </c>
      <c r="N95" s="3">
        <f t="shared" si="21"/>
        <v>1.1479999999999961</v>
      </c>
      <c r="O95" s="27">
        <f t="shared" si="22"/>
        <v>1.1479999999999961</v>
      </c>
      <c r="P95" s="17">
        <f t="shared" si="15"/>
        <v>0.62299999999999511</v>
      </c>
      <c r="Q95" s="3">
        <f t="shared" si="16"/>
        <v>-181.60599999999999</v>
      </c>
      <c r="R95" s="3">
        <f t="shared" si="23"/>
        <v>-1.6059999999999945</v>
      </c>
      <c r="S95" s="3">
        <f t="shared" si="24"/>
        <v>358.39400000000001</v>
      </c>
      <c r="T95" s="27">
        <f t="shared" si="25"/>
        <v>-1.6059999999999945</v>
      </c>
      <c r="U95" s="17">
        <f t="shared" si="17"/>
        <v>1.8228783783783813</v>
      </c>
      <c r="V95" s="27">
        <f t="shared" si="18"/>
        <v>-0.41799999999999998</v>
      </c>
    </row>
    <row r="96" spans="1:22" s="5" customFormat="1">
      <c r="A96" s="5">
        <v>-120</v>
      </c>
      <c r="B96" s="17">
        <f>B95+10</f>
        <v>20</v>
      </c>
      <c r="C96" s="5">
        <v>118.913</v>
      </c>
      <c r="D96" s="5">
        <v>124.32299999999999</v>
      </c>
      <c r="E96" s="5">
        <f t="shared" si="19"/>
        <v>116.76400000000001</v>
      </c>
      <c r="F96" s="25">
        <f>360-(116.718+D96+C96)</f>
        <v>4.5999999999992269E-2</v>
      </c>
      <c r="G96" s="30">
        <v>1.343</v>
      </c>
      <c r="H96" s="7">
        <v>2.54</v>
      </c>
      <c r="I96" s="7">
        <v>-4.641</v>
      </c>
      <c r="J96" s="6" t="s">
        <v>126</v>
      </c>
      <c r="K96" s="17">
        <v>177.893</v>
      </c>
      <c r="L96" s="3">
        <f t="shared" si="14"/>
        <v>182.53399999999999</v>
      </c>
      <c r="M96" s="3">
        <f t="shared" si="20"/>
        <v>362.53399999999999</v>
      </c>
      <c r="N96" s="3">
        <f t="shared" si="21"/>
        <v>2.5339999999999918</v>
      </c>
      <c r="O96" s="27">
        <f t="shared" si="22"/>
        <v>2.5339999999999918</v>
      </c>
      <c r="P96" s="17">
        <f t="shared" si="15"/>
        <v>2.0089999999999906</v>
      </c>
      <c r="Q96" s="3">
        <f t="shared" si="16"/>
        <v>175.35300000000001</v>
      </c>
      <c r="R96" s="3">
        <f t="shared" si="23"/>
        <v>355.35300000000001</v>
      </c>
      <c r="S96" s="3">
        <f t="shared" si="24"/>
        <v>355.35300000000001</v>
      </c>
      <c r="T96" s="27">
        <f t="shared" si="25"/>
        <v>-4.6469999999999914</v>
      </c>
      <c r="U96" s="17">
        <f t="shared" si="17"/>
        <v>-1.2181216216216155</v>
      </c>
      <c r="V96" s="27">
        <f t="shared" si="18"/>
        <v>-1.0505</v>
      </c>
    </row>
    <row r="97" spans="1:22" s="5" customFormat="1">
      <c r="A97" s="5">
        <v>-120</v>
      </c>
      <c r="B97" s="17">
        <f t="shared" ref="B97:B112" si="27">B96+10</f>
        <v>30</v>
      </c>
      <c r="C97" s="5">
        <v>119.33</v>
      </c>
      <c r="D97" s="5">
        <v>124.11199999999999</v>
      </c>
      <c r="E97" s="5">
        <f t="shared" si="19"/>
        <v>116.55799999999999</v>
      </c>
      <c r="F97" s="25">
        <f>360-(116.449+D97+C97)</f>
        <v>0.10900000000003729</v>
      </c>
      <c r="G97" s="30">
        <v>1.3440000000000001</v>
      </c>
      <c r="H97" s="7">
        <v>3.5070000000000001</v>
      </c>
      <c r="I97" s="7">
        <v>-7.6589999999999998</v>
      </c>
      <c r="J97" s="7">
        <v>179.68700000000001</v>
      </c>
      <c r="K97" s="17">
        <v>176.161</v>
      </c>
      <c r="L97" s="3">
        <f t="shared" si="14"/>
        <v>-176.18</v>
      </c>
      <c r="M97" s="3">
        <f t="shared" si="20"/>
        <v>3.8199999999999932</v>
      </c>
      <c r="N97" s="3">
        <f t="shared" si="21"/>
        <v>3.8199999999999932</v>
      </c>
      <c r="O97" s="27">
        <f t="shared" si="22"/>
        <v>3.8199999999999932</v>
      </c>
      <c r="P97" s="17">
        <f t="shared" si="15"/>
        <v>3.2949999999999919</v>
      </c>
      <c r="Q97" s="3">
        <f t="shared" si="16"/>
        <v>-187.346</v>
      </c>
      <c r="R97" s="3">
        <f t="shared" si="23"/>
        <v>-7.3460000000000036</v>
      </c>
      <c r="S97" s="3">
        <f t="shared" si="24"/>
        <v>352.654</v>
      </c>
      <c r="T97" s="27">
        <f t="shared" si="25"/>
        <v>-7.3460000000000036</v>
      </c>
      <c r="U97" s="17">
        <f t="shared" si="17"/>
        <v>-3.9171216216216278</v>
      </c>
      <c r="V97" s="27">
        <f t="shared" si="18"/>
        <v>-2.0759999999999996</v>
      </c>
    </row>
    <row r="98" spans="1:22" s="5" customFormat="1">
      <c r="A98" s="5">
        <v>-120</v>
      </c>
      <c r="B98" s="17">
        <f t="shared" si="27"/>
        <v>40</v>
      </c>
      <c r="C98" s="5">
        <v>119.72</v>
      </c>
      <c r="D98" s="5">
        <v>124.047</v>
      </c>
      <c r="E98" s="5">
        <f t="shared" si="19"/>
        <v>116.233</v>
      </c>
      <c r="F98" s="25">
        <f>360-(116.1+D98+C98)</f>
        <v>0.1330000000000382</v>
      </c>
      <c r="G98" s="30">
        <v>1.345</v>
      </c>
      <c r="H98" s="7">
        <v>4.1210000000000004</v>
      </c>
      <c r="I98" s="7">
        <v>-8.2840000000000007</v>
      </c>
      <c r="J98" s="7">
        <v>179.9</v>
      </c>
      <c r="K98" s="17">
        <v>175.93600000000001</v>
      </c>
      <c r="L98" s="3">
        <f t="shared" si="14"/>
        <v>-175.779</v>
      </c>
      <c r="M98" s="3">
        <f t="shared" si="20"/>
        <v>4.2210000000000036</v>
      </c>
      <c r="N98" s="3">
        <f t="shared" si="21"/>
        <v>4.2210000000000036</v>
      </c>
      <c r="O98" s="27">
        <f t="shared" si="22"/>
        <v>4.2210000000000036</v>
      </c>
      <c r="P98" s="17">
        <f t="shared" si="15"/>
        <v>3.6960000000000024</v>
      </c>
      <c r="Q98" s="3">
        <f t="shared" si="16"/>
        <v>-188.184</v>
      </c>
      <c r="R98" s="3">
        <f t="shared" si="23"/>
        <v>-8.1839999999999975</v>
      </c>
      <c r="S98" s="3">
        <f t="shared" si="24"/>
        <v>351.81600000000003</v>
      </c>
      <c r="T98" s="27">
        <f t="shared" si="25"/>
        <v>-8.1839999999999691</v>
      </c>
      <c r="U98" s="17">
        <f t="shared" si="17"/>
        <v>-4.7551216216215932</v>
      </c>
      <c r="V98" s="27">
        <f t="shared" si="18"/>
        <v>-2.0815000000000001</v>
      </c>
    </row>
    <row r="99" spans="1:22" s="5" customFormat="1">
      <c r="A99" s="5">
        <v>-120</v>
      </c>
      <c r="B99" s="17">
        <f t="shared" si="27"/>
        <v>50</v>
      </c>
      <c r="C99" s="5">
        <v>120.226</v>
      </c>
      <c r="D99" s="5">
        <v>123.94</v>
      </c>
      <c r="E99" s="5">
        <f t="shared" si="19"/>
        <v>115.834</v>
      </c>
      <c r="F99" s="25">
        <f>360-(115.732+D99+C99)</f>
        <v>0.10199999999997544</v>
      </c>
      <c r="G99" s="30">
        <v>1.3460000000000001</v>
      </c>
      <c r="H99" s="7">
        <v>4.4889999999999999</v>
      </c>
      <c r="I99" s="7">
        <v>-7.024</v>
      </c>
      <c r="J99" s="6" t="s">
        <v>127</v>
      </c>
      <c r="K99" s="17">
        <v>176.672</v>
      </c>
      <c r="L99" s="3">
        <f t="shared" si="14"/>
        <v>183.696</v>
      </c>
      <c r="M99" s="3">
        <f t="shared" si="20"/>
        <v>363.69600000000003</v>
      </c>
      <c r="N99" s="3">
        <f t="shared" si="21"/>
        <v>3.6960000000000264</v>
      </c>
      <c r="O99" s="27">
        <f t="shared" si="22"/>
        <v>3.6960000000000264</v>
      </c>
      <c r="P99" s="17">
        <f t="shared" si="15"/>
        <v>3.1710000000000251</v>
      </c>
      <c r="Q99" s="3">
        <f t="shared" si="16"/>
        <v>172.18299999999999</v>
      </c>
      <c r="R99" s="3">
        <f t="shared" si="23"/>
        <v>352.18299999999999</v>
      </c>
      <c r="S99" s="3">
        <f t="shared" si="24"/>
        <v>352.18299999999999</v>
      </c>
      <c r="T99" s="27">
        <f t="shared" si="25"/>
        <v>-7.8170000000000073</v>
      </c>
      <c r="U99" s="17">
        <f t="shared" si="17"/>
        <v>-4.3881216216216314</v>
      </c>
      <c r="V99" s="27">
        <f t="shared" si="18"/>
        <v>-1.2675000000000001</v>
      </c>
    </row>
    <row r="100" spans="1:22" s="5" customFormat="1">
      <c r="A100" s="5">
        <v>-120</v>
      </c>
      <c r="B100" s="17">
        <f t="shared" si="27"/>
        <v>60</v>
      </c>
      <c r="C100" s="5">
        <v>120.645</v>
      </c>
      <c r="D100" s="5">
        <v>123.851</v>
      </c>
      <c r="E100" s="5">
        <f t="shared" si="19"/>
        <v>115.50400000000002</v>
      </c>
      <c r="F100" s="25">
        <f>360-(115.464+D100+C100)</f>
        <v>4.0000000000020464E-2</v>
      </c>
      <c r="G100" s="30">
        <v>1.347</v>
      </c>
      <c r="H100" s="7">
        <v>4.84</v>
      </c>
      <c r="I100" s="7">
        <v>-4.7290000000000001</v>
      </c>
      <c r="J100" s="6" t="s">
        <v>128</v>
      </c>
      <c r="K100" s="17">
        <v>177.578</v>
      </c>
      <c r="L100" s="3">
        <f t="shared" si="14"/>
        <v>182.30700000000002</v>
      </c>
      <c r="M100" s="3">
        <f t="shared" si="20"/>
        <v>362.30700000000002</v>
      </c>
      <c r="N100" s="3">
        <f t="shared" si="21"/>
        <v>2.3070000000000164</v>
      </c>
      <c r="O100" s="27">
        <f t="shared" si="22"/>
        <v>2.3070000000000164</v>
      </c>
      <c r="P100" s="17">
        <f t="shared" si="15"/>
        <v>1.7820000000000153</v>
      </c>
      <c r="Q100" s="3">
        <f t="shared" si="16"/>
        <v>172.738</v>
      </c>
      <c r="R100" s="3">
        <f t="shared" si="23"/>
        <v>352.738</v>
      </c>
      <c r="S100" s="3">
        <f t="shared" si="24"/>
        <v>352.738</v>
      </c>
      <c r="T100" s="27">
        <f t="shared" si="25"/>
        <v>-7.2620000000000005</v>
      </c>
      <c r="U100" s="17">
        <f t="shared" si="17"/>
        <v>-3.8331216216216246</v>
      </c>
      <c r="V100" s="27">
        <f t="shared" si="18"/>
        <v>5.5499999999999883E-2</v>
      </c>
    </row>
    <row r="101" spans="1:22" s="5" customFormat="1">
      <c r="A101" s="5">
        <v>-120</v>
      </c>
      <c r="B101" s="17">
        <f t="shared" si="27"/>
        <v>70</v>
      </c>
      <c r="C101" s="5">
        <v>120.90300000000001</v>
      </c>
      <c r="D101" s="5">
        <v>123.831</v>
      </c>
      <c r="E101" s="5">
        <f t="shared" si="19"/>
        <v>115.26599999999999</v>
      </c>
      <c r="F101" s="25">
        <f>360-(115.259+D101+C101)</f>
        <v>7.0000000000050022E-3</v>
      </c>
      <c r="G101" s="30">
        <v>1.347</v>
      </c>
      <c r="H101" s="7">
        <v>4.2779999999999996</v>
      </c>
      <c r="I101" s="7">
        <v>-2.64</v>
      </c>
      <c r="J101" s="6" t="s">
        <v>129</v>
      </c>
      <c r="K101" s="17">
        <v>178.26499999999999</v>
      </c>
      <c r="L101" s="3">
        <f t="shared" si="14"/>
        <v>180.904</v>
      </c>
      <c r="M101" s="3">
        <f t="shared" si="20"/>
        <v>360.904</v>
      </c>
      <c r="N101" s="3">
        <f t="shared" si="21"/>
        <v>0.90399999999999636</v>
      </c>
      <c r="O101" s="27">
        <f t="shared" si="22"/>
        <v>0.90399999999999636</v>
      </c>
      <c r="P101" s="17">
        <f t="shared" si="15"/>
        <v>0.37899999999999534</v>
      </c>
      <c r="Q101" s="3">
        <f t="shared" si="16"/>
        <v>173.98600000000002</v>
      </c>
      <c r="R101" s="3">
        <f t="shared" si="23"/>
        <v>353.98599999999999</v>
      </c>
      <c r="S101" s="3">
        <f t="shared" si="24"/>
        <v>353.98599999999999</v>
      </c>
      <c r="T101" s="27">
        <f t="shared" si="25"/>
        <v>-6.01400000000001</v>
      </c>
      <c r="U101" s="17">
        <f t="shared" si="17"/>
        <v>-2.5851216216216342</v>
      </c>
      <c r="V101" s="27">
        <f t="shared" si="18"/>
        <v>0.81899999999999973</v>
      </c>
    </row>
    <row r="102" spans="1:22" s="5" customFormat="1">
      <c r="A102" s="5">
        <v>-120</v>
      </c>
      <c r="B102" s="17">
        <f t="shared" si="27"/>
        <v>80</v>
      </c>
      <c r="C102" s="5">
        <v>120.944</v>
      </c>
      <c r="D102" s="5">
        <v>123.854</v>
      </c>
      <c r="E102" s="5">
        <f t="shared" si="19"/>
        <v>115.202</v>
      </c>
      <c r="F102" s="25">
        <f>360-(115.2+D102+C102)</f>
        <v>2.0000000000095497E-3</v>
      </c>
      <c r="G102" s="30">
        <v>1.347</v>
      </c>
      <c r="H102" s="7">
        <v>3.6549999999999998</v>
      </c>
      <c r="I102" s="7">
        <v>-0.72799999999999998</v>
      </c>
      <c r="J102" s="6" t="s">
        <v>130</v>
      </c>
      <c r="K102" s="17">
        <v>178.75399999999999</v>
      </c>
      <c r="L102" s="3">
        <f t="shared" si="14"/>
        <v>179.482</v>
      </c>
      <c r="M102" s="3">
        <f t="shared" si="20"/>
        <v>359.48199999999997</v>
      </c>
      <c r="N102" s="3">
        <f t="shared" si="21"/>
        <v>359.48199999999997</v>
      </c>
      <c r="O102" s="27">
        <f t="shared" si="22"/>
        <v>-0.5180000000000291</v>
      </c>
      <c r="P102" s="17">
        <f t="shared" si="15"/>
        <v>-1.0430000000000301</v>
      </c>
      <c r="Q102" s="3">
        <f t="shared" si="16"/>
        <v>175.09899999999999</v>
      </c>
      <c r="R102" s="3">
        <f t="shared" si="23"/>
        <v>355.09899999999999</v>
      </c>
      <c r="S102" s="3">
        <f t="shared" si="24"/>
        <v>355.09899999999999</v>
      </c>
      <c r="T102" s="27">
        <f t="shared" si="25"/>
        <v>-4.9010000000000105</v>
      </c>
      <c r="U102" s="17">
        <f t="shared" si="17"/>
        <v>-1.4721216216216346</v>
      </c>
      <c r="V102" s="27">
        <f t="shared" si="18"/>
        <v>1.4634999999999998</v>
      </c>
    </row>
    <row r="103" spans="1:22" s="5" customFormat="1">
      <c r="A103" s="5">
        <v>-120</v>
      </c>
      <c r="B103" s="17">
        <f t="shared" si="27"/>
        <v>90</v>
      </c>
      <c r="C103" s="5">
        <v>120.70399999999999</v>
      </c>
      <c r="D103" s="5">
        <v>123.861</v>
      </c>
      <c r="E103" s="5">
        <f t="shared" si="19"/>
        <v>115.435</v>
      </c>
      <c r="F103" s="25">
        <f>360-(115.419+D103+C103)</f>
        <v>1.6000000000019554E-2</v>
      </c>
      <c r="G103" s="30">
        <v>1.347</v>
      </c>
      <c r="H103" s="7">
        <v>3.72</v>
      </c>
      <c r="I103" s="7">
        <v>-0.26</v>
      </c>
      <c r="J103" s="6" t="s">
        <v>131</v>
      </c>
      <c r="K103" s="17">
        <v>178.27099999999999</v>
      </c>
      <c r="L103" s="3">
        <f t="shared" si="14"/>
        <v>178.53100000000001</v>
      </c>
      <c r="M103" s="3">
        <f t="shared" si="20"/>
        <v>358.53100000000001</v>
      </c>
      <c r="N103" s="3">
        <f t="shared" si="21"/>
        <v>358.53100000000001</v>
      </c>
      <c r="O103" s="27">
        <f t="shared" si="22"/>
        <v>-1.4689999999999941</v>
      </c>
      <c r="P103" s="17">
        <f t="shared" si="15"/>
        <v>-1.9939999999999951</v>
      </c>
      <c r="Q103" s="3">
        <f t="shared" si="16"/>
        <v>174.55100000000002</v>
      </c>
      <c r="R103" s="3">
        <f t="shared" si="23"/>
        <v>354.55100000000004</v>
      </c>
      <c r="S103" s="3">
        <f t="shared" si="24"/>
        <v>354.55100000000004</v>
      </c>
      <c r="T103" s="27">
        <f t="shared" si="25"/>
        <v>-5.4489999999999554</v>
      </c>
      <c r="U103" s="17">
        <f t="shared" si="17"/>
        <v>-2.0201216216215796</v>
      </c>
      <c r="V103" s="27">
        <f t="shared" si="18"/>
        <v>1.73</v>
      </c>
    </row>
    <row r="104" spans="1:22" s="5" customFormat="1">
      <c r="A104" s="5">
        <v>-120</v>
      </c>
      <c r="B104" s="17">
        <f t="shared" si="27"/>
        <v>100</v>
      </c>
      <c r="C104" s="5">
        <v>120.336</v>
      </c>
      <c r="D104" s="5">
        <v>123.898</v>
      </c>
      <c r="E104" s="5">
        <f t="shared" si="19"/>
        <v>115.76600000000002</v>
      </c>
      <c r="F104" s="25">
        <f>360-(115.746+D104+C104)</f>
        <v>1.999999999998181E-2</v>
      </c>
      <c r="G104" s="30">
        <v>1.3460000000000001</v>
      </c>
      <c r="H104" s="7">
        <v>2.6539999999999999</v>
      </c>
      <c r="I104" s="7">
        <v>-0.252</v>
      </c>
      <c r="J104" s="6" t="s">
        <v>132</v>
      </c>
      <c r="K104" s="17">
        <v>178.077</v>
      </c>
      <c r="L104" s="3">
        <f t="shared" si="14"/>
        <v>178.32900000000001</v>
      </c>
      <c r="M104" s="3">
        <f t="shared" si="20"/>
        <v>358.32900000000001</v>
      </c>
      <c r="N104" s="3">
        <f t="shared" si="21"/>
        <v>358.32900000000001</v>
      </c>
      <c r="O104" s="27">
        <f t="shared" si="22"/>
        <v>-1.6709999999999923</v>
      </c>
      <c r="P104" s="17">
        <f t="shared" si="15"/>
        <v>-2.1959999999999935</v>
      </c>
      <c r="Q104" s="3">
        <f t="shared" si="16"/>
        <v>175.423</v>
      </c>
      <c r="R104" s="3">
        <f t="shared" si="23"/>
        <v>355.423</v>
      </c>
      <c r="S104" s="3">
        <f t="shared" si="24"/>
        <v>355.423</v>
      </c>
      <c r="T104" s="27">
        <f t="shared" si="25"/>
        <v>-4.5769999999999982</v>
      </c>
      <c r="U104" s="17">
        <f t="shared" si="17"/>
        <v>-1.1481216216216223</v>
      </c>
      <c r="V104" s="27">
        <f t="shared" si="18"/>
        <v>1.2010000000000001</v>
      </c>
    </row>
    <row r="105" spans="1:22" s="5" customFormat="1">
      <c r="A105" s="5">
        <v>-120</v>
      </c>
      <c r="B105" s="17">
        <f t="shared" si="27"/>
        <v>110</v>
      </c>
      <c r="C105" s="5">
        <v>120.053</v>
      </c>
      <c r="D105" s="5">
        <v>123.974</v>
      </c>
      <c r="E105" s="5">
        <f t="shared" si="19"/>
        <v>115.97300000000001</v>
      </c>
      <c r="F105" s="25">
        <f>360-(115.96+D105+C105)</f>
        <v>1.3000000000033651E-2</v>
      </c>
      <c r="G105" s="30">
        <v>1.345</v>
      </c>
      <c r="H105" s="7">
        <v>1.764</v>
      </c>
      <c r="I105" s="7">
        <v>-0.98</v>
      </c>
      <c r="J105" s="6" t="s">
        <v>133</v>
      </c>
      <c r="K105" s="17">
        <v>177.72</v>
      </c>
      <c r="L105" s="3">
        <f t="shared" si="14"/>
        <v>178.70000000000002</v>
      </c>
      <c r="M105" s="3">
        <f t="shared" si="20"/>
        <v>358.70000000000005</v>
      </c>
      <c r="N105" s="3">
        <f t="shared" si="21"/>
        <v>358.70000000000005</v>
      </c>
      <c r="O105" s="27">
        <f t="shared" si="22"/>
        <v>-1.2999999999999545</v>
      </c>
      <c r="P105" s="17">
        <f t="shared" si="15"/>
        <v>-1.8249999999999555</v>
      </c>
      <c r="Q105" s="3">
        <f t="shared" si="16"/>
        <v>175.95600000000002</v>
      </c>
      <c r="R105" s="3">
        <f t="shared" si="23"/>
        <v>355.95600000000002</v>
      </c>
      <c r="S105" s="3">
        <f t="shared" si="24"/>
        <v>355.95600000000002</v>
      </c>
      <c r="T105" s="27">
        <f t="shared" si="25"/>
        <v>-4.0439999999999827</v>
      </c>
      <c r="U105" s="17">
        <f t="shared" si="17"/>
        <v>-0.61512162162160688</v>
      </c>
      <c r="V105" s="27">
        <f t="shared" si="18"/>
        <v>0.39200000000000002</v>
      </c>
    </row>
    <row r="106" spans="1:22" s="5" customFormat="1">
      <c r="A106" s="5">
        <v>-120</v>
      </c>
      <c r="B106" s="17">
        <f t="shared" si="27"/>
        <v>120</v>
      </c>
      <c r="C106" s="5">
        <v>119.90600000000001</v>
      </c>
      <c r="D106" s="5">
        <v>123.991</v>
      </c>
      <c r="E106" s="5">
        <f t="shared" si="19"/>
        <v>116.10300000000001</v>
      </c>
      <c r="F106" s="25">
        <f>360-(116.102+D106+C106)</f>
        <v>9.9999999997635314E-4</v>
      </c>
      <c r="G106" s="30">
        <v>1.345</v>
      </c>
      <c r="H106" s="6" t="s">
        <v>134</v>
      </c>
      <c r="I106" s="6">
        <v>-2.0030000000000001</v>
      </c>
      <c r="J106" s="7">
        <v>179.92099999999999</v>
      </c>
      <c r="K106" s="17">
        <v>177.58600000000001</v>
      </c>
      <c r="L106" s="3">
        <f t="shared" si="14"/>
        <v>-180.411</v>
      </c>
      <c r="M106" s="3">
        <f t="shared" si="20"/>
        <v>-0.41100000000000136</v>
      </c>
      <c r="N106" s="3">
        <f t="shared" si="21"/>
        <v>359.589</v>
      </c>
      <c r="O106" s="27">
        <f t="shared" si="22"/>
        <v>-0.41100000000000136</v>
      </c>
      <c r="P106" s="17">
        <f t="shared" si="15"/>
        <v>-0.93600000000000239</v>
      </c>
      <c r="Q106" s="3">
        <f t="shared" si="16"/>
        <v>-181.92399999999998</v>
      </c>
      <c r="R106" s="3">
        <f t="shared" si="23"/>
        <v>-1.9239999999999782</v>
      </c>
      <c r="S106" s="3">
        <f t="shared" si="24"/>
        <v>358.07600000000002</v>
      </c>
      <c r="T106" s="27">
        <f t="shared" si="25"/>
        <v>-1.9239999999999782</v>
      </c>
      <c r="U106" s="17">
        <f t="shared" si="17"/>
        <v>1.5048783783783977</v>
      </c>
      <c r="V106" s="27">
        <f t="shared" si="18"/>
        <v>-1.2465000000000002</v>
      </c>
    </row>
    <row r="107" spans="1:22" s="5" customFormat="1">
      <c r="A107" s="5">
        <v>-120</v>
      </c>
      <c r="B107" s="17">
        <f t="shared" si="27"/>
        <v>130</v>
      </c>
      <c r="C107" s="5">
        <v>119.959</v>
      </c>
      <c r="D107" s="5">
        <v>124.042</v>
      </c>
      <c r="E107" s="5">
        <f t="shared" si="19"/>
        <v>115.999</v>
      </c>
      <c r="F107" s="25">
        <f>360-(115.997+D107+C107)</f>
        <v>2.0000000000095497E-3</v>
      </c>
      <c r="G107" s="30">
        <v>1.345</v>
      </c>
      <c r="H107" s="6" t="s">
        <v>135</v>
      </c>
      <c r="I107" s="6">
        <v>-3.0329999999999999</v>
      </c>
      <c r="J107" s="7">
        <v>178.43899999999999</v>
      </c>
      <c r="K107" s="17">
        <v>177.45</v>
      </c>
      <c r="L107" s="3">
        <f t="shared" si="14"/>
        <v>-179.518</v>
      </c>
      <c r="M107" s="3">
        <f t="shared" si="20"/>
        <v>0.48199999999999932</v>
      </c>
      <c r="N107" s="3">
        <f t="shared" si="21"/>
        <v>0.48199999999999932</v>
      </c>
      <c r="O107" s="27">
        <f t="shared" si="22"/>
        <v>0.48199999999999932</v>
      </c>
      <c r="P107" s="17">
        <f t="shared" si="15"/>
        <v>-4.3000000000001704E-2</v>
      </c>
      <c r="Q107" s="3">
        <f t="shared" si="16"/>
        <v>-181.47199999999998</v>
      </c>
      <c r="R107" s="3">
        <f t="shared" si="23"/>
        <v>-1.47199999999998</v>
      </c>
      <c r="S107" s="3">
        <f t="shared" si="24"/>
        <v>358.52800000000002</v>
      </c>
      <c r="T107" s="27">
        <f t="shared" si="25"/>
        <v>-1.47199999999998</v>
      </c>
      <c r="U107" s="17">
        <f t="shared" si="17"/>
        <v>1.9568783783783958</v>
      </c>
      <c r="V107" s="27">
        <f t="shared" si="18"/>
        <v>-2.056</v>
      </c>
    </row>
    <row r="108" spans="1:22" s="5" customFormat="1">
      <c r="A108" s="5">
        <v>-120</v>
      </c>
      <c r="B108" s="17">
        <f t="shared" si="27"/>
        <v>140</v>
      </c>
      <c r="C108" s="5">
        <v>120.184</v>
      </c>
      <c r="D108" s="5">
        <v>124.116</v>
      </c>
      <c r="E108" s="5">
        <f t="shared" si="19"/>
        <v>115.69999999999999</v>
      </c>
      <c r="F108" s="25">
        <f>360-(115.684+D108+C108)</f>
        <v>1.5999999999962711E-2</v>
      </c>
      <c r="G108" s="30">
        <v>1.3440000000000001</v>
      </c>
      <c r="H108" s="6" t="s">
        <v>136</v>
      </c>
      <c r="I108" s="6">
        <v>-4.5659999999999998</v>
      </c>
      <c r="J108" s="7">
        <v>176.95599999999999</v>
      </c>
      <c r="K108" s="17">
        <v>176.899</v>
      </c>
      <c r="L108" s="3">
        <f t="shared" si="14"/>
        <v>-178.53399999999999</v>
      </c>
      <c r="M108" s="3">
        <f t="shared" si="20"/>
        <v>1.4660000000000082</v>
      </c>
      <c r="N108" s="3">
        <f t="shared" si="21"/>
        <v>1.4660000000000082</v>
      </c>
      <c r="O108" s="27">
        <f t="shared" si="22"/>
        <v>1.4660000000000082</v>
      </c>
      <c r="P108" s="17">
        <f t="shared" si="15"/>
        <v>0.94100000000000716</v>
      </c>
      <c r="Q108" s="3">
        <f t="shared" si="16"/>
        <v>-181.52199999999999</v>
      </c>
      <c r="R108" s="3">
        <f t="shared" si="23"/>
        <v>-1.5219999999999914</v>
      </c>
      <c r="S108" s="3">
        <f t="shared" si="24"/>
        <v>358.47800000000001</v>
      </c>
      <c r="T108" s="27">
        <f t="shared" si="25"/>
        <v>-1.5219999999999914</v>
      </c>
      <c r="U108" s="17">
        <f t="shared" si="17"/>
        <v>1.9068783783783845</v>
      </c>
      <c r="V108" s="27">
        <f t="shared" si="18"/>
        <v>-3.0720000000000001</v>
      </c>
    </row>
    <row r="109" spans="1:22" s="5" customFormat="1">
      <c r="A109" s="5">
        <v>-120</v>
      </c>
      <c r="B109" s="17">
        <f t="shared" si="27"/>
        <v>150</v>
      </c>
      <c r="C109" s="5">
        <v>120.47499999999999</v>
      </c>
      <c r="D109" s="5">
        <v>124.04900000000001</v>
      </c>
      <c r="E109" s="5">
        <f t="shared" si="19"/>
        <v>115.476</v>
      </c>
      <c r="F109" s="25">
        <f>360-(115.436+D109+C109)</f>
        <v>3.999999999996362E-2</v>
      </c>
      <c r="G109" s="30">
        <v>1.345</v>
      </c>
      <c r="H109" s="6" t="s">
        <v>137</v>
      </c>
      <c r="I109" s="6">
        <v>-5.6520000000000001</v>
      </c>
      <c r="J109" s="7">
        <v>176.435</v>
      </c>
      <c r="K109" s="17">
        <v>176.65100000000001</v>
      </c>
      <c r="L109" s="3">
        <f t="shared" si="14"/>
        <v>-177.697</v>
      </c>
      <c r="M109" s="3">
        <f t="shared" si="20"/>
        <v>2.3029999999999973</v>
      </c>
      <c r="N109" s="3">
        <f t="shared" si="21"/>
        <v>2.3029999999999973</v>
      </c>
      <c r="O109" s="27">
        <f t="shared" si="22"/>
        <v>2.3029999999999973</v>
      </c>
      <c r="P109" s="17">
        <f t="shared" si="15"/>
        <v>1.7779999999999963</v>
      </c>
      <c r="Q109" s="3">
        <f t="shared" si="16"/>
        <v>-182.08699999999999</v>
      </c>
      <c r="R109" s="3">
        <f t="shared" si="23"/>
        <v>-2.0869999999999891</v>
      </c>
      <c r="S109" s="3">
        <f t="shared" si="24"/>
        <v>357.91300000000001</v>
      </c>
      <c r="T109" s="27">
        <f t="shared" si="25"/>
        <v>-2.0869999999999891</v>
      </c>
      <c r="U109" s="17">
        <f t="shared" si="17"/>
        <v>1.3418783783783867</v>
      </c>
      <c r="V109" s="27">
        <f t="shared" si="18"/>
        <v>-3.4569999999999999</v>
      </c>
    </row>
    <row r="110" spans="1:22" s="5" customFormat="1">
      <c r="A110" s="5">
        <v>-120</v>
      </c>
      <c r="B110" s="17">
        <f t="shared" si="27"/>
        <v>160</v>
      </c>
      <c r="C110" s="5">
        <v>120.827</v>
      </c>
      <c r="D110" s="5">
        <v>124.02500000000001</v>
      </c>
      <c r="E110" s="5">
        <f t="shared" si="19"/>
        <v>115.148</v>
      </c>
      <c r="F110" s="25">
        <f>360-(115.091+D110+C110)</f>
        <v>5.7000000000016371E-2</v>
      </c>
      <c r="G110" s="30">
        <v>1.345</v>
      </c>
      <c r="H110" s="6" t="s">
        <v>138</v>
      </c>
      <c r="I110" s="6">
        <v>-5.694</v>
      </c>
      <c r="J110" s="7">
        <v>176.08799999999999</v>
      </c>
      <c r="K110" s="17">
        <v>177.053</v>
      </c>
      <c r="L110" s="3">
        <f t="shared" si="14"/>
        <v>-177.25299999999999</v>
      </c>
      <c r="M110" s="3">
        <f t="shared" si="20"/>
        <v>2.7470000000000141</v>
      </c>
      <c r="N110" s="3">
        <f t="shared" si="21"/>
        <v>2.7470000000000141</v>
      </c>
      <c r="O110" s="27">
        <f t="shared" si="22"/>
        <v>2.7470000000000141</v>
      </c>
      <c r="P110" s="17">
        <f t="shared" si="15"/>
        <v>2.2220000000000129</v>
      </c>
      <c r="Q110" s="3">
        <f t="shared" si="16"/>
        <v>-181.78199999999998</v>
      </c>
      <c r="R110" s="3">
        <f t="shared" si="23"/>
        <v>-1.7819999999999823</v>
      </c>
      <c r="S110" s="3">
        <f t="shared" si="24"/>
        <v>358.21800000000002</v>
      </c>
      <c r="T110" s="27">
        <f t="shared" si="25"/>
        <v>-1.7819999999999823</v>
      </c>
      <c r="U110" s="17">
        <f t="shared" si="17"/>
        <v>1.6468783783783936</v>
      </c>
      <c r="V110" s="27">
        <f t="shared" si="18"/>
        <v>-3.4295</v>
      </c>
    </row>
    <row r="111" spans="1:22" s="5" customFormat="1">
      <c r="A111" s="5">
        <v>-120</v>
      </c>
      <c r="B111" s="17">
        <f t="shared" si="27"/>
        <v>170</v>
      </c>
      <c r="C111" s="5">
        <v>121.30500000000001</v>
      </c>
      <c r="D111" s="5">
        <v>124.014</v>
      </c>
      <c r="E111" s="5">
        <f t="shared" si="19"/>
        <v>114.68099999999998</v>
      </c>
      <c r="F111" s="25">
        <f>360-(114.629+D111+C111)</f>
        <v>5.2000000000020918E-2</v>
      </c>
      <c r="G111" s="30">
        <v>1.3460000000000001</v>
      </c>
      <c r="H111" s="6" t="s">
        <v>139</v>
      </c>
      <c r="I111" s="6">
        <v>-5.1559999999999997</v>
      </c>
      <c r="J111" s="7">
        <v>177.18700000000001</v>
      </c>
      <c r="K111" s="17">
        <v>177.429</v>
      </c>
      <c r="L111" s="3">
        <f t="shared" si="14"/>
        <v>-177.41600000000003</v>
      </c>
      <c r="M111" s="3">
        <f t="shared" si="20"/>
        <v>2.5839999999999748</v>
      </c>
      <c r="N111" s="3">
        <f t="shared" si="21"/>
        <v>2.5839999999999748</v>
      </c>
      <c r="O111" s="27">
        <f t="shared" si="22"/>
        <v>2.5839999999999748</v>
      </c>
      <c r="P111" s="17">
        <f t="shared" si="15"/>
        <v>2.0589999999999735</v>
      </c>
      <c r="Q111" s="3">
        <f t="shared" si="16"/>
        <v>-182.34300000000002</v>
      </c>
      <c r="R111" s="3">
        <f t="shared" si="23"/>
        <v>-2.3430000000000177</v>
      </c>
      <c r="S111" s="3">
        <f t="shared" si="24"/>
        <v>357.65699999999998</v>
      </c>
      <c r="T111" s="27">
        <f t="shared" si="25"/>
        <v>-2.3430000000000177</v>
      </c>
      <c r="U111" s="17">
        <f t="shared" si="17"/>
        <v>1.0858783783783581</v>
      </c>
      <c r="V111" s="27">
        <f t="shared" si="18"/>
        <v>-2.6924999999999999</v>
      </c>
    </row>
    <row r="112" spans="1:22" s="11" customFormat="1" ht="19" thickBot="1">
      <c r="A112" s="11">
        <v>-120</v>
      </c>
      <c r="B112" s="18">
        <f t="shared" si="27"/>
        <v>180</v>
      </c>
      <c r="C112" s="11">
        <v>121.69799999999999</v>
      </c>
      <c r="D112" s="11">
        <v>123.94799999999999</v>
      </c>
      <c r="E112" s="11">
        <f t="shared" si="19"/>
        <v>114.35400000000001</v>
      </c>
      <c r="F112" s="26">
        <f>360-(114.323+D112+C112)</f>
        <v>3.1000000000005912E-2</v>
      </c>
      <c r="G112" s="31">
        <v>1.3460000000000001</v>
      </c>
      <c r="H112" s="13">
        <v>2.04</v>
      </c>
      <c r="I112" s="13">
        <v>-4.6260000000000003</v>
      </c>
      <c r="J112" s="12" t="s">
        <v>107</v>
      </c>
      <c r="K112" s="18">
        <v>177.39099999999999</v>
      </c>
      <c r="L112" s="11">
        <f t="shared" si="14"/>
        <v>182.01599999999999</v>
      </c>
      <c r="M112" s="11">
        <f t="shared" si="20"/>
        <v>362.01599999999996</v>
      </c>
      <c r="N112" s="11">
        <f t="shared" si="21"/>
        <v>2.0159999999999627</v>
      </c>
      <c r="O112" s="28">
        <f t="shared" si="22"/>
        <v>2.0159999999999627</v>
      </c>
      <c r="P112" s="18">
        <f t="shared" si="15"/>
        <v>1.4909999999999617</v>
      </c>
      <c r="Q112" s="11">
        <f t="shared" si="16"/>
        <v>175.35</v>
      </c>
      <c r="R112" s="11">
        <f t="shared" si="23"/>
        <v>355.35</v>
      </c>
      <c r="S112" s="11">
        <f t="shared" si="24"/>
        <v>355.35</v>
      </c>
      <c r="T112" s="28">
        <f t="shared" si="25"/>
        <v>-4.6499999999999773</v>
      </c>
      <c r="U112" s="18">
        <f t="shared" si="17"/>
        <v>-1.2211216216216014</v>
      </c>
      <c r="V112" s="28">
        <f t="shared" si="18"/>
        <v>-1.2930000000000001</v>
      </c>
    </row>
    <row r="113" spans="1:22" s="5" customFormat="1" ht="19" thickTop="1">
      <c r="A113" s="5">
        <v>-60</v>
      </c>
      <c r="B113" s="17">
        <v>-180</v>
      </c>
      <c r="C113" s="5">
        <v>122.389</v>
      </c>
      <c r="D113" s="5">
        <v>123.842</v>
      </c>
      <c r="E113" s="5">
        <f t="shared" si="19"/>
        <v>113.76900000000001</v>
      </c>
      <c r="F113" s="25">
        <f>360-(113.689+D113+C113)</f>
        <v>7.9999999999984084E-2</v>
      </c>
      <c r="G113" s="30">
        <v>1.349</v>
      </c>
      <c r="H113" s="7">
        <v>3.3220000000000001</v>
      </c>
      <c r="I113" s="7">
        <v>-5.7510000000000003</v>
      </c>
      <c r="J113" s="6" t="s">
        <v>143</v>
      </c>
      <c r="K113" s="17">
        <v>177.446</v>
      </c>
      <c r="L113" s="3">
        <f t="shared" si="14"/>
        <v>183.197</v>
      </c>
      <c r="M113" s="3">
        <f t="shared" si="20"/>
        <v>363.197</v>
      </c>
      <c r="N113" s="3">
        <f t="shared" si="21"/>
        <v>3.1970000000000027</v>
      </c>
      <c r="O113" s="27">
        <f t="shared" si="22"/>
        <v>3.1970000000000027</v>
      </c>
      <c r="P113" s="17">
        <f t="shared" si="15"/>
        <v>2.6720000000000015</v>
      </c>
      <c r="Q113" s="3">
        <f t="shared" si="16"/>
        <v>174.124</v>
      </c>
      <c r="R113" s="3">
        <f t="shared" si="23"/>
        <v>354.12400000000002</v>
      </c>
      <c r="S113" s="3">
        <f t="shared" si="24"/>
        <v>354.12400000000002</v>
      </c>
      <c r="T113" s="27">
        <f t="shared" si="25"/>
        <v>-5.8759999999999764</v>
      </c>
      <c r="U113" s="17">
        <f t="shared" si="17"/>
        <v>-2.4471216216216005</v>
      </c>
      <c r="V113" s="27">
        <f t="shared" si="18"/>
        <v>-1.2145000000000001</v>
      </c>
    </row>
    <row r="114" spans="1:22" s="5" customFormat="1">
      <c r="A114" s="5">
        <v>-60</v>
      </c>
      <c r="B114" s="17">
        <f>B113+10</f>
        <v>-170</v>
      </c>
      <c r="C114" s="5">
        <v>122.461</v>
      </c>
      <c r="D114" s="5">
        <v>123.687</v>
      </c>
      <c r="E114" s="5">
        <f t="shared" si="19"/>
        <v>113.852</v>
      </c>
      <c r="F114" s="25">
        <f>360-(113.783+D114+C114)</f>
        <v>6.9000000000016826E-2</v>
      </c>
      <c r="G114" s="30">
        <v>1.35</v>
      </c>
      <c r="H114" s="7">
        <v>6.8090000000000002</v>
      </c>
      <c r="I114" s="7">
        <v>-5.9119999999999999</v>
      </c>
      <c r="J114" s="6" t="s">
        <v>142</v>
      </c>
      <c r="K114" s="17">
        <v>177.054</v>
      </c>
      <c r="L114" s="3">
        <f t="shared" si="14"/>
        <v>182.965</v>
      </c>
      <c r="M114" s="3">
        <f t="shared" si="20"/>
        <v>362.96500000000003</v>
      </c>
      <c r="N114" s="3">
        <f t="shared" si="21"/>
        <v>2.9650000000000318</v>
      </c>
      <c r="O114" s="27">
        <f t="shared" si="22"/>
        <v>2.9650000000000318</v>
      </c>
      <c r="P114" s="17">
        <f t="shared" si="15"/>
        <v>2.4400000000000306</v>
      </c>
      <c r="Q114" s="3">
        <f t="shared" si="16"/>
        <v>170.244</v>
      </c>
      <c r="R114" s="3">
        <f t="shared" si="23"/>
        <v>350.24400000000003</v>
      </c>
      <c r="S114" s="3">
        <f t="shared" si="24"/>
        <v>350.24400000000003</v>
      </c>
      <c r="T114" s="27">
        <f t="shared" si="25"/>
        <v>-9.7559999999999718</v>
      </c>
      <c r="U114" s="17">
        <f t="shared" si="17"/>
        <v>-6.327121621621596</v>
      </c>
      <c r="V114" s="27">
        <f t="shared" si="18"/>
        <v>0.44850000000000012</v>
      </c>
    </row>
    <row r="115" spans="1:22" s="5" customFormat="1">
      <c r="A115" s="5">
        <v>-60</v>
      </c>
      <c r="B115" s="17">
        <f t="shared" ref="B115:B149" si="28">B114+10</f>
        <v>-160</v>
      </c>
      <c r="C115" s="5">
        <v>122.514</v>
      </c>
      <c r="D115" s="5">
        <v>123.759</v>
      </c>
      <c r="E115" s="5">
        <f t="shared" si="19"/>
        <v>113.727</v>
      </c>
      <c r="F115" s="25">
        <f>360-(113.682+D115+C115)</f>
        <v>4.5000000000015916E-2</v>
      </c>
      <c r="G115" s="30">
        <v>1.35</v>
      </c>
      <c r="H115" s="7">
        <v>7.5389999999999997</v>
      </c>
      <c r="I115" s="7">
        <v>-3.9849999999999999</v>
      </c>
      <c r="J115" s="6" t="s">
        <v>144</v>
      </c>
      <c r="K115" s="17">
        <v>178.386</v>
      </c>
      <c r="L115" s="3">
        <f t="shared" si="14"/>
        <v>182.36999999999998</v>
      </c>
      <c r="M115" s="3">
        <f t="shared" si="20"/>
        <v>362.37</v>
      </c>
      <c r="N115" s="3">
        <f t="shared" si="21"/>
        <v>2.3700000000000045</v>
      </c>
      <c r="O115" s="27">
        <f t="shared" si="22"/>
        <v>2.3700000000000045</v>
      </c>
      <c r="P115" s="17">
        <f t="shared" si="15"/>
        <v>1.8450000000000035</v>
      </c>
      <c r="Q115" s="3">
        <f t="shared" si="16"/>
        <v>170.84599999999998</v>
      </c>
      <c r="R115" s="3">
        <f t="shared" si="23"/>
        <v>350.846</v>
      </c>
      <c r="S115" s="3">
        <f t="shared" si="24"/>
        <v>350.846</v>
      </c>
      <c r="T115" s="27">
        <f t="shared" si="25"/>
        <v>-9.1539999999999964</v>
      </c>
      <c r="U115" s="17">
        <f t="shared" si="17"/>
        <v>-5.7251216216216205</v>
      </c>
      <c r="V115" s="27">
        <f t="shared" si="18"/>
        <v>1.7769999999999999</v>
      </c>
    </row>
    <row r="116" spans="1:22" s="5" customFormat="1">
      <c r="A116" s="5">
        <v>-60</v>
      </c>
      <c r="B116" s="17">
        <f t="shared" si="28"/>
        <v>-150</v>
      </c>
      <c r="C116" s="5">
        <v>122.504</v>
      </c>
      <c r="D116" s="5">
        <v>123.622</v>
      </c>
      <c r="E116" s="5">
        <f t="shared" si="19"/>
        <v>113.874</v>
      </c>
      <c r="F116" s="25">
        <f>360-(113.838+D116+C116)</f>
        <v>3.6000000000001364E-2</v>
      </c>
      <c r="G116" s="30">
        <v>1.35</v>
      </c>
      <c r="H116" s="7">
        <v>7.5</v>
      </c>
      <c r="I116" s="7">
        <v>-3.4279999999999999</v>
      </c>
      <c r="J116" s="6" t="s">
        <v>145</v>
      </c>
      <c r="K116" s="17">
        <v>178.70500000000001</v>
      </c>
      <c r="L116" s="3">
        <f t="shared" si="14"/>
        <v>182.13399999999999</v>
      </c>
      <c r="M116" s="3">
        <f t="shared" si="20"/>
        <v>362.13400000000001</v>
      </c>
      <c r="N116" s="3">
        <f t="shared" si="21"/>
        <v>2.1340000000000146</v>
      </c>
      <c r="O116" s="27">
        <f t="shared" si="22"/>
        <v>2.1340000000000146</v>
      </c>
      <c r="P116" s="17">
        <f t="shared" si="15"/>
        <v>1.6090000000000135</v>
      </c>
      <c r="Q116" s="3">
        <f t="shared" si="16"/>
        <v>171.20599999999999</v>
      </c>
      <c r="R116" s="3">
        <f t="shared" si="23"/>
        <v>351.20600000000002</v>
      </c>
      <c r="S116" s="3">
        <f t="shared" si="24"/>
        <v>351.20600000000002</v>
      </c>
      <c r="T116" s="27">
        <f t="shared" si="25"/>
        <v>-8.7939999999999827</v>
      </c>
      <c r="U116" s="17">
        <f t="shared" si="17"/>
        <v>-5.3651216216216069</v>
      </c>
      <c r="V116" s="27">
        <f t="shared" si="18"/>
        <v>2.036</v>
      </c>
    </row>
    <row r="117" spans="1:22" s="5" customFormat="1">
      <c r="A117" s="5">
        <v>-60</v>
      </c>
      <c r="B117" s="17">
        <f t="shared" si="28"/>
        <v>-140</v>
      </c>
      <c r="C117" s="5">
        <v>122.40300000000001</v>
      </c>
      <c r="D117" s="5">
        <v>123.45099999999999</v>
      </c>
      <c r="E117" s="5">
        <f t="shared" si="19"/>
        <v>114.14600000000002</v>
      </c>
      <c r="F117" s="25">
        <f>360-(114.126+D117+C117)</f>
        <v>1.999999999998181E-2</v>
      </c>
      <c r="G117" s="30">
        <v>1.351</v>
      </c>
      <c r="H117" s="7">
        <v>6.6950000000000003</v>
      </c>
      <c r="I117" s="7">
        <v>-2.4910000000000001</v>
      </c>
      <c r="J117" s="6" t="s">
        <v>146</v>
      </c>
      <c r="K117" s="17">
        <v>179.09800000000001</v>
      </c>
      <c r="L117" s="3">
        <f t="shared" si="14"/>
        <v>181.59</v>
      </c>
      <c r="M117" s="3">
        <f t="shared" si="20"/>
        <v>361.59000000000003</v>
      </c>
      <c r="N117" s="3">
        <f t="shared" si="21"/>
        <v>1.5900000000000318</v>
      </c>
      <c r="O117" s="27">
        <f t="shared" si="22"/>
        <v>1.5900000000000318</v>
      </c>
      <c r="P117" s="17">
        <f t="shared" si="15"/>
        <v>1.0650000000000308</v>
      </c>
      <c r="Q117" s="3">
        <f t="shared" si="16"/>
        <v>172.404</v>
      </c>
      <c r="R117" s="3">
        <f t="shared" si="23"/>
        <v>352.404</v>
      </c>
      <c r="S117" s="3">
        <f t="shared" si="24"/>
        <v>352.404</v>
      </c>
      <c r="T117" s="27">
        <f t="shared" si="25"/>
        <v>-7.5960000000000036</v>
      </c>
      <c r="U117" s="17">
        <f t="shared" si="17"/>
        <v>-4.1671216216216278</v>
      </c>
      <c r="V117" s="27">
        <f t="shared" si="18"/>
        <v>2.1020000000000003</v>
      </c>
    </row>
    <row r="118" spans="1:22" s="5" customFormat="1">
      <c r="A118" s="5">
        <v>-60</v>
      </c>
      <c r="B118" s="17">
        <f t="shared" si="28"/>
        <v>-130</v>
      </c>
      <c r="C118" s="5">
        <v>122.363</v>
      </c>
      <c r="D118" s="5">
        <v>123.297</v>
      </c>
      <c r="E118" s="5">
        <f t="shared" si="19"/>
        <v>114.34</v>
      </c>
      <c r="F118" s="25">
        <f>360-(114.332+D118+C118)</f>
        <v>8.0000000000381988E-3</v>
      </c>
      <c r="G118" s="30">
        <v>1.351</v>
      </c>
      <c r="H118" s="7">
        <v>6.0389999999999997</v>
      </c>
      <c r="I118" s="7">
        <v>-2.2810000000000001</v>
      </c>
      <c r="J118" s="6" t="s">
        <v>147</v>
      </c>
      <c r="K118" s="17">
        <v>178.69499999999999</v>
      </c>
      <c r="L118" s="3">
        <f t="shared" si="14"/>
        <v>180.976</v>
      </c>
      <c r="M118" s="3">
        <f t="shared" si="20"/>
        <v>360.976</v>
      </c>
      <c r="N118" s="3">
        <f t="shared" si="21"/>
        <v>0.97599999999999909</v>
      </c>
      <c r="O118" s="27">
        <f t="shared" si="22"/>
        <v>0.97599999999999909</v>
      </c>
      <c r="P118" s="17">
        <f t="shared" si="15"/>
        <v>0.45099999999999807</v>
      </c>
      <c r="Q118" s="3">
        <f t="shared" si="16"/>
        <v>172.65600000000001</v>
      </c>
      <c r="R118" s="3">
        <f t="shared" si="23"/>
        <v>352.65600000000001</v>
      </c>
      <c r="S118" s="3">
        <f t="shared" si="24"/>
        <v>352.65600000000001</v>
      </c>
      <c r="T118" s="27">
        <f t="shared" si="25"/>
        <v>-7.3439999999999941</v>
      </c>
      <c r="U118" s="17">
        <f t="shared" si="17"/>
        <v>-3.9151216216216183</v>
      </c>
      <c r="V118" s="27">
        <f t="shared" si="18"/>
        <v>1.8789999999999998</v>
      </c>
    </row>
    <row r="119" spans="1:22" s="5" customFormat="1">
      <c r="A119" s="5">
        <v>-60</v>
      </c>
      <c r="B119" s="17">
        <f t="shared" si="28"/>
        <v>-120</v>
      </c>
      <c r="C119" s="5">
        <v>122.32</v>
      </c>
      <c r="D119" s="5">
        <v>123.26</v>
      </c>
      <c r="E119" s="5">
        <f t="shared" si="19"/>
        <v>114.42000000000002</v>
      </c>
      <c r="F119" s="25">
        <f>360-(114.42+D119+C119)</f>
        <v>0</v>
      </c>
      <c r="G119" s="30">
        <v>1.351</v>
      </c>
      <c r="H119" s="7">
        <v>3.8959999999999999</v>
      </c>
      <c r="I119" s="7">
        <v>-1.2629999999999999</v>
      </c>
      <c r="J119" s="6" t="s">
        <v>148</v>
      </c>
      <c r="K119" s="17">
        <v>178.79</v>
      </c>
      <c r="L119" s="3">
        <f t="shared" si="14"/>
        <v>180.053</v>
      </c>
      <c r="M119" s="3">
        <f t="shared" si="20"/>
        <v>360.053</v>
      </c>
      <c r="N119" s="3">
        <f t="shared" si="21"/>
        <v>5.2999999999997272E-2</v>
      </c>
      <c r="O119" s="27">
        <f t="shared" si="22"/>
        <v>5.2999999999997272E-2</v>
      </c>
      <c r="P119" s="17">
        <f t="shared" si="15"/>
        <v>-0.47200000000000375</v>
      </c>
      <c r="Q119" s="3">
        <f t="shared" si="16"/>
        <v>174.89400000000001</v>
      </c>
      <c r="R119" s="3">
        <f t="shared" si="23"/>
        <v>354.89400000000001</v>
      </c>
      <c r="S119" s="3">
        <f t="shared" si="24"/>
        <v>354.89400000000001</v>
      </c>
      <c r="T119" s="27">
        <f t="shared" si="25"/>
        <v>-5.1059999999999945</v>
      </c>
      <c r="U119" s="17">
        <f t="shared" si="17"/>
        <v>-1.6771216216216187</v>
      </c>
      <c r="V119" s="27">
        <f t="shared" si="18"/>
        <v>1.3165</v>
      </c>
    </row>
    <row r="120" spans="1:22" s="5" customFormat="1">
      <c r="A120" s="5">
        <v>-60</v>
      </c>
      <c r="B120" s="17">
        <f t="shared" si="28"/>
        <v>-110</v>
      </c>
      <c r="C120" s="5">
        <v>122.23</v>
      </c>
      <c r="D120" s="5">
        <v>123.28700000000001</v>
      </c>
      <c r="E120" s="5">
        <f t="shared" si="19"/>
        <v>114.483</v>
      </c>
      <c r="F120" s="25">
        <f>360-(114.479+D120+C120)</f>
        <v>3.999999999962256E-3</v>
      </c>
      <c r="G120" s="30">
        <v>1.351</v>
      </c>
      <c r="H120" s="7">
        <v>2.2349999999999999</v>
      </c>
      <c r="I120" s="7">
        <v>-1.246</v>
      </c>
      <c r="J120" s="6" t="s">
        <v>149</v>
      </c>
      <c r="K120" s="17">
        <v>178.08199999999999</v>
      </c>
      <c r="L120" s="3">
        <f t="shared" si="14"/>
        <v>179.32900000000001</v>
      </c>
      <c r="M120" s="3">
        <f t="shared" si="20"/>
        <v>359.32900000000001</v>
      </c>
      <c r="N120" s="3">
        <f t="shared" si="21"/>
        <v>359.32900000000001</v>
      </c>
      <c r="O120" s="27">
        <f t="shared" si="22"/>
        <v>-0.67099999999999227</v>
      </c>
      <c r="P120" s="17">
        <f t="shared" si="15"/>
        <v>-1.1959999999999933</v>
      </c>
      <c r="Q120" s="3">
        <f t="shared" si="16"/>
        <v>175.84799999999998</v>
      </c>
      <c r="R120" s="3">
        <f t="shared" si="23"/>
        <v>355.84799999999996</v>
      </c>
      <c r="S120" s="3">
        <f t="shared" si="24"/>
        <v>355.84799999999996</v>
      </c>
      <c r="T120" s="27">
        <f t="shared" si="25"/>
        <v>-4.1520000000000437</v>
      </c>
      <c r="U120" s="17">
        <f t="shared" si="17"/>
        <v>-0.72312162162166782</v>
      </c>
      <c r="V120" s="27">
        <f t="shared" si="18"/>
        <v>0.49449999999999994</v>
      </c>
    </row>
    <row r="121" spans="1:22" s="5" customFormat="1">
      <c r="A121" s="5">
        <v>-60</v>
      </c>
      <c r="B121" s="17">
        <f t="shared" si="28"/>
        <v>-100</v>
      </c>
      <c r="C121" s="5">
        <v>122.184</v>
      </c>
      <c r="D121" s="5">
        <v>123.32</v>
      </c>
      <c r="E121" s="5">
        <f t="shared" si="19"/>
        <v>114.49600000000001</v>
      </c>
      <c r="F121" s="25">
        <f>360-(114.478+D121+C121)</f>
        <v>1.8000000000029104E-2</v>
      </c>
      <c r="G121" s="30">
        <v>1.351</v>
      </c>
      <c r="H121" s="7">
        <v>0.04</v>
      </c>
      <c r="I121" s="7">
        <v>-0.80400000000000005</v>
      </c>
      <c r="J121" s="6" t="s">
        <v>150</v>
      </c>
      <c r="K121" s="17">
        <v>177.66499999999999</v>
      </c>
      <c r="L121" s="3">
        <f t="shared" si="14"/>
        <v>178.46799999999999</v>
      </c>
      <c r="M121" s="3">
        <f t="shared" si="20"/>
        <v>358.46799999999996</v>
      </c>
      <c r="N121" s="3">
        <f t="shared" si="21"/>
        <v>358.46799999999996</v>
      </c>
      <c r="O121" s="27">
        <f t="shared" si="22"/>
        <v>-1.5320000000000391</v>
      </c>
      <c r="P121" s="17">
        <f t="shared" si="15"/>
        <v>-2.0570000000000404</v>
      </c>
      <c r="Q121" s="3">
        <f t="shared" si="16"/>
        <v>177.624</v>
      </c>
      <c r="R121" s="3">
        <f t="shared" si="23"/>
        <v>357.62400000000002</v>
      </c>
      <c r="S121" s="3">
        <f t="shared" si="24"/>
        <v>357.62400000000002</v>
      </c>
      <c r="T121" s="27">
        <f t="shared" si="25"/>
        <v>-2.3759999999999764</v>
      </c>
      <c r="U121" s="17">
        <f t="shared" si="17"/>
        <v>1.0528783783783995</v>
      </c>
      <c r="V121" s="27">
        <f t="shared" si="18"/>
        <v>-0.38200000000000001</v>
      </c>
    </row>
    <row r="122" spans="1:22" s="5" customFormat="1">
      <c r="A122" s="5">
        <v>-60</v>
      </c>
      <c r="B122" s="17">
        <f t="shared" si="28"/>
        <v>-90</v>
      </c>
      <c r="C122" s="5">
        <v>122.01300000000001</v>
      </c>
      <c r="D122" s="5">
        <v>123.304</v>
      </c>
      <c r="E122" s="5">
        <f t="shared" si="19"/>
        <v>114.68299999999999</v>
      </c>
      <c r="F122" s="25">
        <f>360-(114.64+D122+C122)</f>
        <v>4.3000000000006366E-2</v>
      </c>
      <c r="G122" s="30">
        <v>1.35</v>
      </c>
      <c r="H122" s="6" t="s">
        <v>152</v>
      </c>
      <c r="I122" s="6">
        <v>-3.5999999999999997E-2</v>
      </c>
      <c r="J122" s="6" t="s">
        <v>151</v>
      </c>
      <c r="K122" s="17">
        <v>177.595</v>
      </c>
      <c r="L122" s="3">
        <f t="shared" si="14"/>
        <v>177.63200000000001</v>
      </c>
      <c r="M122" s="3">
        <f t="shared" si="20"/>
        <v>357.63200000000001</v>
      </c>
      <c r="N122" s="3">
        <f t="shared" si="21"/>
        <v>357.63200000000001</v>
      </c>
      <c r="O122" s="27">
        <f t="shared" si="22"/>
        <v>-2.367999999999995</v>
      </c>
      <c r="P122" s="17">
        <f t="shared" si="15"/>
        <v>-2.8929999999999962</v>
      </c>
      <c r="Q122" s="3">
        <f t="shared" si="16"/>
        <v>179.70500000000001</v>
      </c>
      <c r="R122" s="3">
        <f t="shared" si="23"/>
        <v>359.70500000000004</v>
      </c>
      <c r="S122" s="3">
        <f t="shared" si="24"/>
        <v>359.70500000000004</v>
      </c>
      <c r="T122" s="27">
        <f t="shared" si="25"/>
        <v>-0.29499999999995907</v>
      </c>
      <c r="U122" s="17">
        <f t="shared" si="17"/>
        <v>3.1338783783784168</v>
      </c>
      <c r="V122" s="27">
        <f t="shared" si="18"/>
        <v>-1.0725</v>
      </c>
    </row>
    <row r="123" spans="1:22" s="5" customFormat="1">
      <c r="A123" s="5">
        <v>-60</v>
      </c>
      <c r="B123" s="17">
        <f t="shared" si="28"/>
        <v>-80</v>
      </c>
      <c r="C123" s="5">
        <v>121.60599999999999</v>
      </c>
      <c r="D123" s="5">
        <v>123.53100000000001</v>
      </c>
      <c r="E123" s="5">
        <f t="shared" si="19"/>
        <v>114.863</v>
      </c>
      <c r="F123" s="25">
        <f>360-(114.765+D123+C123)</f>
        <v>9.8000000000013188E-2</v>
      </c>
      <c r="G123" s="30">
        <v>1.35</v>
      </c>
      <c r="H123" s="6" t="s">
        <v>153</v>
      </c>
      <c r="I123" s="6">
        <v>1.6519999999999999</v>
      </c>
      <c r="J123" s="7">
        <v>179.98599999999999</v>
      </c>
      <c r="K123" s="17">
        <v>178.108</v>
      </c>
      <c r="L123" s="3">
        <f t="shared" si="14"/>
        <v>-183.54299999999998</v>
      </c>
      <c r="M123" s="3">
        <f t="shared" si="20"/>
        <v>-3.5429999999999779</v>
      </c>
      <c r="N123" s="3">
        <f t="shared" si="21"/>
        <v>356.45699999999999</v>
      </c>
      <c r="O123" s="27">
        <f t="shared" si="22"/>
        <v>-3.5430000000000064</v>
      </c>
      <c r="P123" s="17">
        <f t="shared" si="15"/>
        <v>-4.0680000000000076</v>
      </c>
      <c r="Q123" s="3">
        <f t="shared" si="16"/>
        <v>-178.334</v>
      </c>
      <c r="R123" s="3">
        <f t="shared" si="23"/>
        <v>1.6659999999999968</v>
      </c>
      <c r="S123" s="3">
        <f t="shared" si="24"/>
        <v>1.6659999999999968</v>
      </c>
      <c r="T123" s="27">
        <f t="shared" si="25"/>
        <v>1.6659999999999968</v>
      </c>
      <c r="U123" s="17">
        <f t="shared" si="17"/>
        <v>5.0948783783783727</v>
      </c>
      <c r="V123" s="27">
        <f t="shared" si="18"/>
        <v>-0.95250000000000001</v>
      </c>
    </row>
    <row r="124" spans="1:22" s="5" customFormat="1">
      <c r="A124" s="5">
        <v>-60</v>
      </c>
      <c r="B124" s="17">
        <f t="shared" si="28"/>
        <v>-70</v>
      </c>
      <c r="C124" s="5">
        <v>121.259</v>
      </c>
      <c r="D124" s="5">
        <v>123.619</v>
      </c>
      <c r="E124" s="5">
        <f t="shared" si="19"/>
        <v>115.12200000000001</v>
      </c>
      <c r="F124" s="25">
        <f>360-(114.974+D124+C124)</f>
        <v>0.14799999999996771</v>
      </c>
      <c r="G124" s="30">
        <v>1.349</v>
      </c>
      <c r="H124" s="6" t="s">
        <v>154</v>
      </c>
      <c r="I124" s="6">
        <v>2.9729999999999999</v>
      </c>
      <c r="J124" s="7">
        <v>179.899</v>
      </c>
      <c r="K124" s="17">
        <v>178.578</v>
      </c>
      <c r="L124" s="3">
        <f t="shared" si="14"/>
        <v>-184.39400000000001</v>
      </c>
      <c r="M124" s="3">
        <f t="shared" si="20"/>
        <v>-4.3940000000000055</v>
      </c>
      <c r="N124" s="3">
        <f t="shared" si="21"/>
        <v>355.60599999999999</v>
      </c>
      <c r="O124" s="27">
        <f t="shared" si="22"/>
        <v>-4.3940000000000055</v>
      </c>
      <c r="P124" s="17">
        <f t="shared" si="15"/>
        <v>-4.9190000000000067</v>
      </c>
      <c r="Q124" s="3">
        <f t="shared" si="16"/>
        <v>-176.92599999999999</v>
      </c>
      <c r="R124" s="3">
        <f t="shared" si="23"/>
        <v>3.0740000000000123</v>
      </c>
      <c r="S124" s="3">
        <f t="shared" si="24"/>
        <v>3.0740000000000123</v>
      </c>
      <c r="T124" s="27">
        <f t="shared" si="25"/>
        <v>3.0740000000000123</v>
      </c>
      <c r="U124" s="17">
        <f t="shared" si="17"/>
        <v>6.5028783783783881</v>
      </c>
      <c r="V124" s="27">
        <f t="shared" si="18"/>
        <v>-0.76100000000000012</v>
      </c>
    </row>
    <row r="125" spans="1:22" s="5" customFormat="1">
      <c r="A125" s="5">
        <v>-60</v>
      </c>
      <c r="B125" s="17">
        <f t="shared" si="28"/>
        <v>-60</v>
      </c>
      <c r="C125" s="5">
        <v>120.867</v>
      </c>
      <c r="D125" s="5">
        <v>123.682</v>
      </c>
      <c r="E125" s="5">
        <f t="shared" si="19"/>
        <v>115.45099999999999</v>
      </c>
      <c r="F125" s="25">
        <f>360-(115.281+D125+C125)</f>
        <v>0.16999999999995907</v>
      </c>
      <c r="G125" s="30">
        <v>1.347</v>
      </c>
      <c r="H125" s="6" t="s">
        <v>156</v>
      </c>
      <c r="I125" s="6">
        <v>3.879</v>
      </c>
      <c r="J125" s="6" t="s">
        <v>155</v>
      </c>
      <c r="K125" s="17">
        <v>179.16399999999999</v>
      </c>
      <c r="L125" s="3">
        <f t="shared" si="14"/>
        <v>175.285</v>
      </c>
      <c r="M125" s="3">
        <f t="shared" si="20"/>
        <v>355.28499999999997</v>
      </c>
      <c r="N125" s="3">
        <f t="shared" si="21"/>
        <v>355.28499999999997</v>
      </c>
      <c r="O125" s="27">
        <f t="shared" si="22"/>
        <v>-4.7150000000000318</v>
      </c>
      <c r="P125" s="17">
        <f t="shared" si="15"/>
        <v>-5.2400000000000331</v>
      </c>
      <c r="Q125" s="3">
        <f t="shared" si="16"/>
        <v>183.25799999999998</v>
      </c>
      <c r="R125" s="3">
        <f t="shared" si="23"/>
        <v>363.25799999999998</v>
      </c>
      <c r="S125" s="3">
        <f t="shared" si="24"/>
        <v>3.2579999999999814</v>
      </c>
      <c r="T125" s="27">
        <f t="shared" si="25"/>
        <v>3.2579999999999814</v>
      </c>
      <c r="U125" s="17">
        <f t="shared" si="17"/>
        <v>6.6868783783783572</v>
      </c>
      <c r="V125" s="27">
        <f t="shared" si="18"/>
        <v>-0.10750000000000015</v>
      </c>
    </row>
    <row r="126" spans="1:22" s="5" customFormat="1">
      <c r="A126" s="5">
        <v>-60</v>
      </c>
      <c r="B126" s="17">
        <f t="shared" si="28"/>
        <v>-50</v>
      </c>
      <c r="C126" s="5">
        <v>120.43300000000001</v>
      </c>
      <c r="D126" s="5">
        <v>123.76600000000001</v>
      </c>
      <c r="E126" s="5">
        <f t="shared" si="19"/>
        <v>115.80099999999999</v>
      </c>
      <c r="F126" s="25">
        <f>360-(115.646+D126+C126)</f>
        <v>0.15499999999997272</v>
      </c>
      <c r="G126" s="30">
        <v>1.3460000000000001</v>
      </c>
      <c r="H126" s="6" t="s">
        <v>158</v>
      </c>
      <c r="I126" s="6">
        <v>4.2140000000000004</v>
      </c>
      <c r="J126" s="6" t="s">
        <v>157</v>
      </c>
      <c r="K126" s="17">
        <v>179.69200000000001</v>
      </c>
      <c r="L126" s="3">
        <f t="shared" si="14"/>
        <v>175.47800000000001</v>
      </c>
      <c r="M126" s="3">
        <f t="shared" si="20"/>
        <v>355.47800000000001</v>
      </c>
      <c r="N126" s="3">
        <f t="shared" si="21"/>
        <v>355.47800000000001</v>
      </c>
      <c r="O126" s="27">
        <f t="shared" si="22"/>
        <v>-4.5219999999999914</v>
      </c>
      <c r="P126" s="17">
        <f t="shared" si="15"/>
        <v>-5.0469999999999926</v>
      </c>
      <c r="Q126" s="3">
        <f t="shared" si="16"/>
        <v>182.76900000000001</v>
      </c>
      <c r="R126" s="3">
        <f t="shared" si="23"/>
        <v>362.76900000000001</v>
      </c>
      <c r="S126" s="3">
        <f t="shared" si="24"/>
        <v>2.7690000000000055</v>
      </c>
      <c r="T126" s="27">
        <f t="shared" si="25"/>
        <v>2.7690000000000055</v>
      </c>
      <c r="U126" s="17">
        <f t="shared" si="17"/>
        <v>6.1978783783783813</v>
      </c>
      <c r="V126" s="27">
        <f t="shared" si="18"/>
        <v>0.56850000000000023</v>
      </c>
    </row>
    <row r="127" spans="1:22" s="5" customFormat="1">
      <c r="A127" s="5">
        <v>-60</v>
      </c>
      <c r="B127" s="17">
        <f t="shared" si="28"/>
        <v>-40</v>
      </c>
      <c r="C127" s="5">
        <v>119.758</v>
      </c>
      <c r="D127" s="5">
        <v>124.075</v>
      </c>
      <c r="E127" s="5">
        <f t="shared" si="19"/>
        <v>116.167</v>
      </c>
      <c r="F127" s="25">
        <f>360-(116.036+D127+C127)</f>
        <v>0.13100000000002865</v>
      </c>
      <c r="G127" s="30">
        <v>1.345</v>
      </c>
      <c r="H127" s="6" t="s">
        <v>32</v>
      </c>
      <c r="I127" s="6">
        <v>3.867</v>
      </c>
      <c r="J127" s="6" t="s">
        <v>159</v>
      </c>
      <c r="K127" s="17">
        <v>179.685</v>
      </c>
      <c r="L127" s="3">
        <f t="shared" si="14"/>
        <v>175.81800000000001</v>
      </c>
      <c r="M127" s="3">
        <f t="shared" si="20"/>
        <v>355.81799999999998</v>
      </c>
      <c r="N127" s="3">
        <f t="shared" si="21"/>
        <v>355.81799999999998</v>
      </c>
      <c r="O127" s="27">
        <f t="shared" si="22"/>
        <v>-4.1820000000000164</v>
      </c>
      <c r="P127" s="17">
        <f t="shared" si="15"/>
        <v>-4.7070000000000176</v>
      </c>
      <c r="Q127" s="3">
        <f t="shared" si="16"/>
        <v>181.328</v>
      </c>
      <c r="R127" s="3">
        <f t="shared" si="23"/>
        <v>361.32799999999997</v>
      </c>
      <c r="S127" s="3">
        <f t="shared" si="24"/>
        <v>1.3279999999999745</v>
      </c>
      <c r="T127" s="27">
        <f t="shared" si="25"/>
        <v>1.3279999999999745</v>
      </c>
      <c r="U127" s="17">
        <f t="shared" si="17"/>
        <v>4.7568783783783504</v>
      </c>
      <c r="V127" s="27">
        <f t="shared" si="18"/>
        <v>1.1120000000000001</v>
      </c>
    </row>
    <row r="128" spans="1:22" s="5" customFormat="1">
      <c r="A128" s="5">
        <v>-60</v>
      </c>
      <c r="B128" s="17">
        <f t="shared" si="28"/>
        <v>-30</v>
      </c>
      <c r="C128" s="5">
        <v>119.151</v>
      </c>
      <c r="D128" s="5">
        <v>124.065</v>
      </c>
      <c r="E128" s="5">
        <f t="shared" si="19"/>
        <v>116.78399999999999</v>
      </c>
      <c r="F128" s="25">
        <f>360-(116.728+D128+C128)</f>
        <v>5.5999999999983174E-2</v>
      </c>
      <c r="G128" s="30">
        <v>1.343</v>
      </c>
      <c r="H128" s="7">
        <v>0.13200000000000001</v>
      </c>
      <c r="I128" s="7">
        <v>0.58699999999999997</v>
      </c>
      <c r="J128" s="6" t="s">
        <v>160</v>
      </c>
      <c r="K128" s="17">
        <v>177.82599999999999</v>
      </c>
      <c r="L128" s="3">
        <f t="shared" si="14"/>
        <v>177.239</v>
      </c>
      <c r="M128" s="3">
        <f t="shared" si="20"/>
        <v>357.23900000000003</v>
      </c>
      <c r="N128" s="3">
        <f t="shared" si="21"/>
        <v>357.23900000000003</v>
      </c>
      <c r="O128" s="27">
        <f t="shared" si="22"/>
        <v>-2.7609999999999673</v>
      </c>
      <c r="P128" s="17">
        <f t="shared" si="15"/>
        <v>-3.2859999999999685</v>
      </c>
      <c r="Q128" s="3">
        <f t="shared" si="16"/>
        <v>177.69399999999999</v>
      </c>
      <c r="R128" s="3">
        <f t="shared" si="23"/>
        <v>357.69399999999996</v>
      </c>
      <c r="S128" s="3">
        <f t="shared" si="24"/>
        <v>357.69399999999996</v>
      </c>
      <c r="T128" s="27">
        <f t="shared" si="25"/>
        <v>-2.30600000000004</v>
      </c>
      <c r="U128" s="17">
        <f t="shared" si="17"/>
        <v>1.1228783783783358</v>
      </c>
      <c r="V128" s="27">
        <f t="shared" si="18"/>
        <v>0.35949999999999999</v>
      </c>
    </row>
    <row r="129" spans="1:22" s="5" customFormat="1">
      <c r="A129" s="5">
        <v>-60</v>
      </c>
      <c r="B129" s="17">
        <f t="shared" si="28"/>
        <v>-20</v>
      </c>
      <c r="C129" s="5">
        <v>118.504</v>
      </c>
      <c r="D129" s="5">
        <v>124.056</v>
      </c>
      <c r="E129" s="5">
        <f t="shared" si="19"/>
        <v>117.44</v>
      </c>
      <c r="F129" s="25">
        <f>360-(117.429+D129+C129)</f>
        <v>1.0999999999967258E-2</v>
      </c>
      <c r="G129" s="30">
        <v>1.3420000000000001</v>
      </c>
      <c r="H129" s="7">
        <v>1.2270000000000001</v>
      </c>
      <c r="I129" s="7">
        <v>-2.202</v>
      </c>
      <c r="J129" s="6" t="s">
        <v>161</v>
      </c>
      <c r="K129" s="17">
        <v>176.536</v>
      </c>
      <c r="L129" s="3">
        <f t="shared" si="14"/>
        <v>178.738</v>
      </c>
      <c r="M129" s="3">
        <f t="shared" si="20"/>
        <v>358.738</v>
      </c>
      <c r="N129" s="3">
        <f t="shared" si="21"/>
        <v>358.738</v>
      </c>
      <c r="O129" s="27">
        <f t="shared" si="22"/>
        <v>-1.2620000000000005</v>
      </c>
      <c r="P129" s="17">
        <f t="shared" si="15"/>
        <v>-1.7870000000000015</v>
      </c>
      <c r="Q129" s="3">
        <f t="shared" si="16"/>
        <v>175.309</v>
      </c>
      <c r="R129" s="3">
        <f t="shared" si="23"/>
        <v>355.30899999999997</v>
      </c>
      <c r="S129" s="3">
        <f t="shared" si="24"/>
        <v>355.30899999999997</v>
      </c>
      <c r="T129" s="27">
        <f t="shared" si="25"/>
        <v>-4.6910000000000309</v>
      </c>
      <c r="U129" s="17">
        <f t="shared" si="17"/>
        <v>-1.2621216216216551</v>
      </c>
      <c r="V129" s="27">
        <f t="shared" si="18"/>
        <v>-0.48749999999999993</v>
      </c>
    </row>
    <row r="130" spans="1:22" s="5" customFormat="1">
      <c r="A130" s="5">
        <v>-60</v>
      </c>
      <c r="B130" s="17">
        <f t="shared" si="28"/>
        <v>-10</v>
      </c>
      <c r="C130" s="5">
        <v>117.64400000000001</v>
      </c>
      <c r="D130" s="5">
        <v>124.071</v>
      </c>
      <c r="E130" s="5">
        <f t="shared" si="19"/>
        <v>118.285</v>
      </c>
      <c r="F130" s="25">
        <f>360-(118.285+D130+C130)</f>
        <v>0</v>
      </c>
      <c r="G130" s="30">
        <v>1.341</v>
      </c>
      <c r="H130" s="7">
        <v>1.8220000000000001</v>
      </c>
      <c r="I130" s="7">
        <v>-2.9390000000000001</v>
      </c>
      <c r="J130" s="6" t="s">
        <v>141</v>
      </c>
      <c r="K130" s="17">
        <v>176.898</v>
      </c>
      <c r="L130" s="3">
        <f t="shared" si="14"/>
        <v>179.83699999999999</v>
      </c>
      <c r="M130" s="3">
        <f t="shared" si="20"/>
        <v>359.83699999999999</v>
      </c>
      <c r="N130" s="3">
        <f t="shared" si="21"/>
        <v>359.83699999999999</v>
      </c>
      <c r="O130" s="27">
        <f t="shared" si="22"/>
        <v>-0.16300000000001091</v>
      </c>
      <c r="P130" s="17">
        <f t="shared" si="15"/>
        <v>-0.68800000000001194</v>
      </c>
      <c r="Q130" s="3">
        <f t="shared" si="16"/>
        <v>175.07599999999999</v>
      </c>
      <c r="R130" s="3">
        <f t="shared" si="23"/>
        <v>355.07600000000002</v>
      </c>
      <c r="S130" s="3">
        <f t="shared" si="24"/>
        <v>355.07600000000002</v>
      </c>
      <c r="T130" s="27">
        <f t="shared" si="25"/>
        <v>-4.9239999999999782</v>
      </c>
      <c r="U130" s="17">
        <f t="shared" si="17"/>
        <v>-1.4951216216216023</v>
      </c>
      <c r="V130" s="27">
        <f t="shared" si="18"/>
        <v>-0.5585</v>
      </c>
    </row>
    <row r="131" spans="1:22" s="5" customFormat="1">
      <c r="A131" s="5">
        <v>-60</v>
      </c>
      <c r="B131" s="17">
        <f t="shared" si="28"/>
        <v>0</v>
      </c>
      <c r="C131" s="5">
        <v>117.075</v>
      </c>
      <c r="D131" s="5">
        <v>123.86799999999999</v>
      </c>
      <c r="E131" s="5">
        <f t="shared" si="19"/>
        <v>119.05700000000002</v>
      </c>
      <c r="F131" s="25">
        <f>360-(119.05+D131+C131)</f>
        <v>7.0000000000050022E-3</v>
      </c>
      <c r="G131" s="30">
        <v>1.34</v>
      </c>
      <c r="H131" s="7">
        <v>1.8140000000000001</v>
      </c>
      <c r="I131" s="7">
        <v>-2.536</v>
      </c>
      <c r="J131" s="6" t="s">
        <v>162</v>
      </c>
      <c r="K131" s="17">
        <v>178.48699999999999</v>
      </c>
      <c r="L131" s="3">
        <f t="shared" ref="L131:L194" si="29">H131-J131</f>
        <v>181.023</v>
      </c>
      <c r="M131" s="3">
        <f t="shared" si="20"/>
        <v>361.02300000000002</v>
      </c>
      <c r="N131" s="3">
        <f t="shared" si="21"/>
        <v>1.0230000000000246</v>
      </c>
      <c r="O131" s="27">
        <f t="shared" si="22"/>
        <v>1.0230000000000246</v>
      </c>
      <c r="P131" s="17">
        <f t="shared" ref="P131:P194" si="30">O131-$O$299</f>
        <v>0.49800000000002353</v>
      </c>
      <c r="Q131" s="3">
        <f t="shared" ref="Q131:Q194" si="31">I131-J131</f>
        <v>176.673</v>
      </c>
      <c r="R131" s="3">
        <f t="shared" si="23"/>
        <v>356.673</v>
      </c>
      <c r="S131" s="3">
        <f t="shared" si="24"/>
        <v>356.673</v>
      </c>
      <c r="T131" s="27">
        <f t="shared" si="25"/>
        <v>-3.3269999999999982</v>
      </c>
      <c r="U131" s="17">
        <f t="shared" ref="U131:U194" si="32">T131-$T$299</f>
        <v>0.10187837837837765</v>
      </c>
      <c r="V131" s="27">
        <f t="shared" ref="V131:V194" si="33">(H131+I131)/2</f>
        <v>-0.36099999999999999</v>
      </c>
    </row>
    <row r="132" spans="1:22" s="5" customFormat="1">
      <c r="A132" s="5">
        <v>-60</v>
      </c>
      <c r="B132" s="17">
        <f t="shared" si="28"/>
        <v>10</v>
      </c>
      <c r="C132" s="5">
        <v>116.773</v>
      </c>
      <c r="D132" s="5">
        <v>123.68300000000001</v>
      </c>
      <c r="E132" s="5">
        <f t="shared" ref="E132:E149" si="34">360-(C132+D132)</f>
        <v>119.54399999999998</v>
      </c>
      <c r="F132" s="25">
        <f>360-(119.543+D132+C132)</f>
        <v>9.9999999997635314E-4</v>
      </c>
      <c r="G132" s="30">
        <v>1.34</v>
      </c>
      <c r="H132" s="6" t="s">
        <v>163</v>
      </c>
      <c r="I132" s="6">
        <v>8.1059999999999999</v>
      </c>
      <c r="J132" s="7">
        <v>179.215</v>
      </c>
      <c r="K132" s="17">
        <v>171.827</v>
      </c>
      <c r="L132" s="3">
        <f t="shared" si="29"/>
        <v>-179.93299999999999</v>
      </c>
      <c r="M132" s="3">
        <f t="shared" ref="M132:M149" si="35">L132+180</f>
        <v>6.7000000000007276E-2</v>
      </c>
      <c r="N132" s="3">
        <f t="shared" ref="N132:N149" si="36">MOD(M132,360)</f>
        <v>6.7000000000007276E-2</v>
      </c>
      <c r="O132" s="27">
        <f t="shared" ref="O132:O149" si="37">IF(N132&gt;=180,N132-360,N132)</f>
        <v>6.7000000000007276E-2</v>
      </c>
      <c r="P132" s="17">
        <f t="shared" si="30"/>
        <v>-0.45799999999999375</v>
      </c>
      <c r="Q132" s="3">
        <f t="shared" si="31"/>
        <v>-171.10900000000001</v>
      </c>
      <c r="R132" s="3">
        <f t="shared" ref="R132:R195" si="38">Q132+180</f>
        <v>8.8909999999999911</v>
      </c>
      <c r="S132" s="3">
        <f t="shared" ref="S132:S195" si="39">MOD(R132,360)</f>
        <v>8.8909999999999911</v>
      </c>
      <c r="T132" s="27">
        <f t="shared" ref="T132:T195" si="40">IF(S132&gt;=180,S132-360,S132)</f>
        <v>8.8909999999999911</v>
      </c>
      <c r="U132" s="17">
        <f t="shared" si="32"/>
        <v>12.319878378378366</v>
      </c>
      <c r="V132" s="27">
        <f t="shared" si="33"/>
        <v>3.694</v>
      </c>
    </row>
    <row r="133" spans="1:22" s="5" customFormat="1">
      <c r="A133" s="5">
        <v>-60</v>
      </c>
      <c r="B133" s="17">
        <f t="shared" si="28"/>
        <v>20</v>
      </c>
      <c r="C133" s="5">
        <v>116.953</v>
      </c>
      <c r="D133" s="5">
        <v>123.80500000000001</v>
      </c>
      <c r="E133" s="5">
        <f t="shared" si="34"/>
        <v>119.24199999999999</v>
      </c>
      <c r="F133" s="25">
        <f>360-(119.243+D133+C133)</f>
        <v>-9.9999999997635314E-4</v>
      </c>
      <c r="G133" s="30">
        <v>1.3420000000000001</v>
      </c>
      <c r="H133" s="6" t="s">
        <v>164</v>
      </c>
      <c r="I133" s="6">
        <v>13.282</v>
      </c>
      <c r="J133" s="7">
        <v>178.108</v>
      </c>
      <c r="K133" s="17">
        <v>166.67</v>
      </c>
      <c r="L133" s="3">
        <f t="shared" si="29"/>
        <v>-179.952</v>
      </c>
      <c r="M133" s="3">
        <f t="shared" si="35"/>
        <v>4.8000000000001819E-2</v>
      </c>
      <c r="N133" s="3">
        <f t="shared" si="36"/>
        <v>4.8000000000001819E-2</v>
      </c>
      <c r="O133" s="27">
        <f t="shared" si="37"/>
        <v>4.8000000000001819E-2</v>
      </c>
      <c r="P133" s="17">
        <f t="shared" si="30"/>
        <v>-0.4769999999999992</v>
      </c>
      <c r="Q133" s="3">
        <f t="shared" si="31"/>
        <v>-164.82599999999999</v>
      </c>
      <c r="R133" s="3">
        <f t="shared" si="38"/>
        <v>15.174000000000007</v>
      </c>
      <c r="S133" s="3">
        <f t="shared" si="39"/>
        <v>15.174000000000007</v>
      </c>
      <c r="T133" s="27">
        <f t="shared" si="40"/>
        <v>15.174000000000007</v>
      </c>
      <c r="U133" s="17">
        <f t="shared" si="32"/>
        <v>18.602878378378382</v>
      </c>
      <c r="V133" s="27">
        <f t="shared" si="33"/>
        <v>5.7190000000000003</v>
      </c>
    </row>
    <row r="134" spans="1:22" s="5" customFormat="1">
      <c r="A134" s="5">
        <v>-60</v>
      </c>
      <c r="B134" s="17">
        <f t="shared" si="28"/>
        <v>30</v>
      </c>
      <c r="C134" s="5">
        <v>117.211</v>
      </c>
      <c r="D134" s="5">
        <v>124.15300000000001</v>
      </c>
      <c r="E134" s="5">
        <f t="shared" si="34"/>
        <v>118.636</v>
      </c>
      <c r="F134" s="25">
        <f>360-(118.625+D134+C134)</f>
        <v>1.0999999999967258E-2</v>
      </c>
      <c r="G134" s="30">
        <v>1.341</v>
      </c>
      <c r="H134" s="6" t="s">
        <v>165</v>
      </c>
      <c r="I134" s="6">
        <v>9.9049999999999994</v>
      </c>
      <c r="J134" s="7">
        <v>178.167</v>
      </c>
      <c r="K134" s="17">
        <v>168.91200000000001</v>
      </c>
      <c r="L134" s="3">
        <f t="shared" si="29"/>
        <v>-178.81800000000001</v>
      </c>
      <c r="M134" s="3">
        <f t="shared" si="35"/>
        <v>1.1819999999999879</v>
      </c>
      <c r="N134" s="3">
        <f t="shared" si="36"/>
        <v>1.1819999999999879</v>
      </c>
      <c r="O134" s="27">
        <f t="shared" si="37"/>
        <v>1.1819999999999879</v>
      </c>
      <c r="P134" s="17">
        <f t="shared" si="30"/>
        <v>0.65699999999998693</v>
      </c>
      <c r="Q134" s="3">
        <f t="shared" si="31"/>
        <v>-168.262</v>
      </c>
      <c r="R134" s="3">
        <f t="shared" si="38"/>
        <v>11.738</v>
      </c>
      <c r="S134" s="3">
        <f t="shared" si="39"/>
        <v>11.738</v>
      </c>
      <c r="T134" s="27">
        <f t="shared" si="40"/>
        <v>11.738</v>
      </c>
      <c r="U134" s="17">
        <f t="shared" si="32"/>
        <v>15.166878378378374</v>
      </c>
      <c r="V134" s="27">
        <f t="shared" si="33"/>
        <v>4.6269999999999998</v>
      </c>
    </row>
    <row r="135" spans="1:22" s="5" customFormat="1">
      <c r="A135" s="5">
        <v>-60</v>
      </c>
      <c r="B135" s="17">
        <f t="shared" si="28"/>
        <v>40</v>
      </c>
      <c r="C135" s="5">
        <v>117.806</v>
      </c>
      <c r="D135" s="5">
        <v>124</v>
      </c>
      <c r="E135" s="5">
        <f t="shared" si="34"/>
        <v>118.19400000000002</v>
      </c>
      <c r="F135" s="25">
        <f>360-(118.151+D135+C135)</f>
        <v>4.3000000000006366E-2</v>
      </c>
      <c r="G135" s="30">
        <v>1.341</v>
      </c>
      <c r="H135" s="7">
        <v>0.67100000000000004</v>
      </c>
      <c r="I135" s="7">
        <v>4.57</v>
      </c>
      <c r="J135" s="7">
        <v>178.23699999999999</v>
      </c>
      <c r="K135" s="17">
        <v>172.995</v>
      </c>
      <c r="L135" s="3">
        <f t="shared" si="29"/>
        <v>-177.566</v>
      </c>
      <c r="M135" s="3">
        <f t="shared" si="35"/>
        <v>2.4339999999999975</v>
      </c>
      <c r="N135" s="3">
        <f t="shared" si="36"/>
        <v>2.4339999999999975</v>
      </c>
      <c r="O135" s="27">
        <f t="shared" si="37"/>
        <v>2.4339999999999975</v>
      </c>
      <c r="P135" s="17">
        <f t="shared" si="30"/>
        <v>1.9089999999999965</v>
      </c>
      <c r="Q135" s="3">
        <f t="shared" si="31"/>
        <v>-173.667</v>
      </c>
      <c r="R135" s="3">
        <f t="shared" si="38"/>
        <v>6.3329999999999984</v>
      </c>
      <c r="S135" s="3">
        <f t="shared" si="39"/>
        <v>6.3329999999999984</v>
      </c>
      <c r="T135" s="27">
        <f t="shared" si="40"/>
        <v>6.3329999999999984</v>
      </c>
      <c r="U135" s="17">
        <f t="shared" si="32"/>
        <v>9.7618783783783734</v>
      </c>
      <c r="V135" s="27">
        <f t="shared" si="33"/>
        <v>2.6205000000000003</v>
      </c>
    </row>
    <row r="136" spans="1:22" s="5" customFormat="1">
      <c r="A136" s="5">
        <v>-60</v>
      </c>
      <c r="B136" s="17">
        <f t="shared" si="28"/>
        <v>50</v>
      </c>
      <c r="C136" s="5">
        <v>118.485</v>
      </c>
      <c r="D136" s="5">
        <v>123.86199999999999</v>
      </c>
      <c r="E136" s="5">
        <f t="shared" si="34"/>
        <v>117.65300000000002</v>
      </c>
      <c r="F136" s="25">
        <f>360-(117.578+D136+C136)</f>
        <v>7.4999999999988631E-2</v>
      </c>
      <c r="G136" s="30">
        <v>1.341</v>
      </c>
      <c r="H136" s="7">
        <v>2.4510000000000001</v>
      </c>
      <c r="I136" s="7">
        <v>-1.0429999999999999</v>
      </c>
      <c r="J136" s="7">
        <v>179.23599999999999</v>
      </c>
      <c r="K136" s="17">
        <v>177.828</v>
      </c>
      <c r="L136" s="3">
        <f t="shared" si="29"/>
        <v>-176.785</v>
      </c>
      <c r="M136" s="3">
        <f t="shared" si="35"/>
        <v>3.2150000000000034</v>
      </c>
      <c r="N136" s="3">
        <f t="shared" si="36"/>
        <v>3.2150000000000034</v>
      </c>
      <c r="O136" s="27">
        <f t="shared" si="37"/>
        <v>3.2150000000000034</v>
      </c>
      <c r="P136" s="17">
        <f t="shared" si="30"/>
        <v>2.6900000000000022</v>
      </c>
      <c r="Q136" s="3">
        <f t="shared" si="31"/>
        <v>-180.279</v>
      </c>
      <c r="R136" s="3">
        <f t="shared" si="38"/>
        <v>-0.27899999999999636</v>
      </c>
      <c r="S136" s="3">
        <f t="shared" si="39"/>
        <v>359.721</v>
      </c>
      <c r="T136" s="27">
        <f t="shared" si="40"/>
        <v>-0.27899999999999636</v>
      </c>
      <c r="U136" s="17">
        <f t="shared" si="32"/>
        <v>3.1498783783783795</v>
      </c>
      <c r="V136" s="27">
        <f t="shared" si="33"/>
        <v>0.70400000000000007</v>
      </c>
    </row>
    <row r="137" spans="1:22" s="5" customFormat="1">
      <c r="A137" s="5">
        <v>-60</v>
      </c>
      <c r="B137" s="17">
        <f t="shared" si="28"/>
        <v>60</v>
      </c>
      <c r="C137" s="5">
        <v>119.04300000000001</v>
      </c>
      <c r="D137" s="5">
        <v>123.855</v>
      </c>
      <c r="E137" s="5">
        <f t="shared" si="34"/>
        <v>117.10199999999998</v>
      </c>
      <c r="F137" s="25">
        <f>360-(116.955+D137+C137)</f>
        <v>0.14699999999999136</v>
      </c>
      <c r="G137" s="30">
        <v>1.3420000000000001</v>
      </c>
      <c r="H137" s="7">
        <v>3.3250000000000002</v>
      </c>
      <c r="I137" s="7">
        <v>-6.7320000000000002</v>
      </c>
      <c r="J137" s="7">
        <v>179.536</v>
      </c>
      <c r="K137" s="17">
        <v>177.05699999999999</v>
      </c>
      <c r="L137" s="3">
        <f t="shared" si="29"/>
        <v>-176.21100000000001</v>
      </c>
      <c r="M137" s="3">
        <f t="shared" si="35"/>
        <v>3.7889999999999873</v>
      </c>
      <c r="N137" s="3">
        <f t="shared" si="36"/>
        <v>3.7889999999999873</v>
      </c>
      <c r="O137" s="27">
        <f t="shared" si="37"/>
        <v>3.7889999999999873</v>
      </c>
      <c r="P137" s="17">
        <f t="shared" si="30"/>
        <v>3.263999999999986</v>
      </c>
      <c r="Q137" s="3">
        <f t="shared" si="31"/>
        <v>-186.268</v>
      </c>
      <c r="R137" s="3">
        <f t="shared" si="38"/>
        <v>-6.2680000000000007</v>
      </c>
      <c r="S137" s="3">
        <f t="shared" si="39"/>
        <v>353.73199999999997</v>
      </c>
      <c r="T137" s="27">
        <f t="shared" si="40"/>
        <v>-6.2680000000000291</v>
      </c>
      <c r="U137" s="17">
        <f t="shared" si="32"/>
        <v>-2.8391216216216533</v>
      </c>
      <c r="V137" s="27">
        <f t="shared" si="33"/>
        <v>-1.7035</v>
      </c>
    </row>
    <row r="138" spans="1:22" s="5" customFormat="1">
      <c r="A138" s="5">
        <v>-60</v>
      </c>
      <c r="B138" s="17">
        <f t="shared" si="28"/>
        <v>70</v>
      </c>
      <c r="C138" s="5">
        <v>119.628</v>
      </c>
      <c r="D138" s="5">
        <v>123.79900000000001</v>
      </c>
      <c r="E138" s="5">
        <f t="shared" si="34"/>
        <v>116.57299999999998</v>
      </c>
      <c r="F138" s="25">
        <f>360-(116.452+D138+C138)</f>
        <v>0.1209999999999809</v>
      </c>
      <c r="G138" s="30">
        <v>1.343</v>
      </c>
      <c r="H138" s="7">
        <v>4.2889999999999997</v>
      </c>
      <c r="I138" s="7">
        <v>-11.968</v>
      </c>
      <c r="J138" s="6" t="s">
        <v>31</v>
      </c>
      <c r="K138" s="17">
        <v>172.053</v>
      </c>
      <c r="L138" s="3">
        <f t="shared" si="29"/>
        <v>184.02099999999999</v>
      </c>
      <c r="M138" s="3">
        <f t="shared" si="35"/>
        <v>364.02099999999996</v>
      </c>
      <c r="N138" s="3">
        <f t="shared" si="36"/>
        <v>4.0209999999999582</v>
      </c>
      <c r="O138" s="27">
        <f t="shared" si="37"/>
        <v>4.0209999999999582</v>
      </c>
      <c r="P138" s="17">
        <f t="shared" si="30"/>
        <v>3.4959999999999569</v>
      </c>
      <c r="Q138" s="3">
        <f t="shared" si="31"/>
        <v>167.76400000000001</v>
      </c>
      <c r="R138" s="3">
        <f t="shared" si="38"/>
        <v>347.76400000000001</v>
      </c>
      <c r="S138" s="3">
        <f t="shared" si="39"/>
        <v>347.76400000000001</v>
      </c>
      <c r="T138" s="27">
        <f t="shared" si="40"/>
        <v>-12.23599999999999</v>
      </c>
      <c r="U138" s="17">
        <f t="shared" si="32"/>
        <v>-8.807121621621615</v>
      </c>
      <c r="V138" s="27">
        <f t="shared" si="33"/>
        <v>-3.8395000000000001</v>
      </c>
    </row>
    <row r="139" spans="1:22" s="5" customFormat="1">
      <c r="A139" s="5">
        <v>-60</v>
      </c>
      <c r="B139" s="17">
        <f t="shared" si="28"/>
        <v>80</v>
      </c>
      <c r="C139" s="5">
        <v>120.068</v>
      </c>
      <c r="D139" s="5">
        <v>123.791</v>
      </c>
      <c r="E139" s="5">
        <f t="shared" si="34"/>
        <v>116.14100000000002</v>
      </c>
      <c r="F139" s="25">
        <f>360-(116.039+D139+C139)</f>
        <v>0.10200000000003229</v>
      </c>
      <c r="G139" s="30">
        <v>1.3440000000000001</v>
      </c>
      <c r="H139" s="7">
        <v>4.694</v>
      </c>
      <c r="I139" s="7">
        <v>-14.984999999999999</v>
      </c>
      <c r="J139" s="6" t="s">
        <v>166</v>
      </c>
      <c r="K139" s="17">
        <v>168.70599999999999</v>
      </c>
      <c r="L139" s="3">
        <f t="shared" si="29"/>
        <v>183.691</v>
      </c>
      <c r="M139" s="3">
        <f t="shared" si="35"/>
        <v>363.69100000000003</v>
      </c>
      <c r="N139" s="3">
        <f t="shared" si="36"/>
        <v>3.6910000000000309</v>
      </c>
      <c r="O139" s="27">
        <f t="shared" si="37"/>
        <v>3.6910000000000309</v>
      </c>
      <c r="P139" s="17">
        <f t="shared" si="30"/>
        <v>3.1660000000000297</v>
      </c>
      <c r="Q139" s="3">
        <f t="shared" si="31"/>
        <v>164.012</v>
      </c>
      <c r="R139" s="3">
        <f t="shared" si="38"/>
        <v>344.012</v>
      </c>
      <c r="S139" s="3">
        <f t="shared" si="39"/>
        <v>344.012</v>
      </c>
      <c r="T139" s="27">
        <f t="shared" si="40"/>
        <v>-15.988</v>
      </c>
      <c r="U139" s="17">
        <f t="shared" si="32"/>
        <v>-12.559121621621625</v>
      </c>
      <c r="V139" s="27">
        <f t="shared" si="33"/>
        <v>-5.1455000000000002</v>
      </c>
    </row>
    <row r="140" spans="1:22" s="5" customFormat="1">
      <c r="A140" s="5">
        <v>-60</v>
      </c>
      <c r="B140" s="17">
        <f t="shared" si="28"/>
        <v>90</v>
      </c>
      <c r="C140" s="5">
        <v>120.274</v>
      </c>
      <c r="D140" s="5">
        <v>123.819</v>
      </c>
      <c r="E140" s="5">
        <f t="shared" si="34"/>
        <v>115.90699999999998</v>
      </c>
      <c r="F140" s="25">
        <f>360-(115.846+D140+C140)</f>
        <v>6.0999999999978627E-2</v>
      </c>
      <c r="G140" s="30">
        <v>1.345</v>
      </c>
      <c r="H140" s="7">
        <v>4.7939999999999996</v>
      </c>
      <c r="I140" s="7">
        <v>-15.371</v>
      </c>
      <c r="J140" s="6" t="s">
        <v>167</v>
      </c>
      <c r="K140" s="17">
        <v>167.46100000000001</v>
      </c>
      <c r="L140" s="3">
        <f t="shared" si="29"/>
        <v>182.83100000000002</v>
      </c>
      <c r="M140" s="3">
        <f t="shared" si="35"/>
        <v>362.83100000000002</v>
      </c>
      <c r="N140" s="3">
        <f t="shared" si="36"/>
        <v>2.8310000000000173</v>
      </c>
      <c r="O140" s="27">
        <f t="shared" si="37"/>
        <v>2.8310000000000173</v>
      </c>
      <c r="P140" s="17">
        <f t="shared" si="30"/>
        <v>2.306000000000016</v>
      </c>
      <c r="Q140" s="3">
        <f t="shared" si="31"/>
        <v>162.666</v>
      </c>
      <c r="R140" s="3">
        <f t="shared" si="38"/>
        <v>342.666</v>
      </c>
      <c r="S140" s="3">
        <f t="shared" si="39"/>
        <v>342.666</v>
      </c>
      <c r="T140" s="27">
        <f t="shared" si="40"/>
        <v>-17.334000000000003</v>
      </c>
      <c r="U140" s="17">
        <f t="shared" si="32"/>
        <v>-13.905121621621628</v>
      </c>
      <c r="V140" s="27">
        <f t="shared" si="33"/>
        <v>-5.2885000000000009</v>
      </c>
    </row>
    <row r="141" spans="1:22" s="5" customFormat="1">
      <c r="A141" s="5">
        <v>-60</v>
      </c>
      <c r="B141" s="17">
        <f t="shared" si="28"/>
        <v>100</v>
      </c>
      <c r="C141" s="5">
        <v>120.32899999999999</v>
      </c>
      <c r="D141" s="5">
        <v>123.833</v>
      </c>
      <c r="E141" s="5">
        <f t="shared" si="34"/>
        <v>115.83800000000002</v>
      </c>
      <c r="F141" s="25">
        <f>360-(115.812+D141+C141)</f>
        <v>2.6000000000010459E-2</v>
      </c>
      <c r="G141" s="30">
        <v>1.345</v>
      </c>
      <c r="H141" s="7">
        <v>4.3310000000000004</v>
      </c>
      <c r="I141" s="7">
        <v>-13.382999999999999</v>
      </c>
      <c r="J141" s="6" t="s">
        <v>168</v>
      </c>
      <c r="K141" s="17">
        <v>168.46199999999999</v>
      </c>
      <c r="L141" s="3">
        <f t="shared" si="29"/>
        <v>181.845</v>
      </c>
      <c r="M141" s="3">
        <f t="shared" si="35"/>
        <v>361.84500000000003</v>
      </c>
      <c r="N141" s="3">
        <f t="shared" si="36"/>
        <v>1.8450000000000273</v>
      </c>
      <c r="O141" s="27">
        <f t="shared" si="37"/>
        <v>1.8450000000000273</v>
      </c>
      <c r="P141" s="17">
        <f t="shared" si="30"/>
        <v>1.3200000000000263</v>
      </c>
      <c r="Q141" s="3">
        <f t="shared" si="31"/>
        <v>164.131</v>
      </c>
      <c r="R141" s="3">
        <f t="shared" si="38"/>
        <v>344.13099999999997</v>
      </c>
      <c r="S141" s="3">
        <f t="shared" si="39"/>
        <v>344.13099999999997</v>
      </c>
      <c r="T141" s="27">
        <f t="shared" si="40"/>
        <v>-15.869000000000028</v>
      </c>
      <c r="U141" s="17">
        <f t="shared" si="32"/>
        <v>-12.440121621621653</v>
      </c>
      <c r="V141" s="27">
        <f t="shared" si="33"/>
        <v>-4.5259999999999998</v>
      </c>
    </row>
    <row r="142" spans="1:22" s="5" customFormat="1">
      <c r="A142" s="5">
        <v>-60</v>
      </c>
      <c r="B142" s="17">
        <f t="shared" si="28"/>
        <v>110</v>
      </c>
      <c r="C142" s="5">
        <v>120.294</v>
      </c>
      <c r="D142" s="5">
        <v>123.79900000000001</v>
      </c>
      <c r="E142" s="5">
        <f t="shared" si="34"/>
        <v>115.90699999999998</v>
      </c>
      <c r="F142" s="25">
        <f>360-(115.894+D142+C142)</f>
        <v>1.2999999999976808E-2</v>
      </c>
      <c r="G142" s="30">
        <v>1.3440000000000001</v>
      </c>
      <c r="H142" s="7">
        <v>2.5369999999999999</v>
      </c>
      <c r="I142" s="7">
        <v>-10.5</v>
      </c>
      <c r="J142" s="6" t="s">
        <v>169</v>
      </c>
      <c r="K142" s="17">
        <v>170.834</v>
      </c>
      <c r="L142" s="3">
        <f t="shared" si="29"/>
        <v>181.334</v>
      </c>
      <c r="M142" s="3">
        <f t="shared" si="35"/>
        <v>361.334</v>
      </c>
      <c r="N142" s="3">
        <f t="shared" si="36"/>
        <v>1.3340000000000032</v>
      </c>
      <c r="O142" s="27">
        <f t="shared" si="37"/>
        <v>1.3340000000000032</v>
      </c>
      <c r="P142" s="17">
        <f t="shared" si="30"/>
        <v>0.80900000000000216</v>
      </c>
      <c r="Q142" s="3">
        <f t="shared" si="31"/>
        <v>168.297</v>
      </c>
      <c r="R142" s="3">
        <f t="shared" si="38"/>
        <v>348.29700000000003</v>
      </c>
      <c r="S142" s="3">
        <f t="shared" si="39"/>
        <v>348.29700000000003</v>
      </c>
      <c r="T142" s="27">
        <f t="shared" si="40"/>
        <v>-11.702999999999975</v>
      </c>
      <c r="U142" s="17">
        <f t="shared" si="32"/>
        <v>-8.2741216216215996</v>
      </c>
      <c r="V142" s="27">
        <f t="shared" si="33"/>
        <v>-3.9815</v>
      </c>
    </row>
    <row r="143" spans="1:22" s="5" customFormat="1">
      <c r="A143" s="5">
        <v>-60</v>
      </c>
      <c r="B143" s="17">
        <f t="shared" si="28"/>
        <v>120</v>
      </c>
      <c r="C143" s="5">
        <v>120.464</v>
      </c>
      <c r="D143" s="5">
        <v>123.795</v>
      </c>
      <c r="E143" s="5">
        <f t="shared" si="34"/>
        <v>115.74099999999999</v>
      </c>
      <c r="F143" s="25">
        <f>360-(115.729+D143+C143)</f>
        <v>1.2000000000000455E-2</v>
      </c>
      <c r="G143" s="30">
        <v>1.3440000000000001</v>
      </c>
      <c r="H143" s="7">
        <v>0.73</v>
      </c>
      <c r="I143" s="7">
        <v>-7.6280000000000001</v>
      </c>
      <c r="J143" s="7">
        <v>179.48500000000001</v>
      </c>
      <c r="K143" s="17">
        <v>173.61799999999999</v>
      </c>
      <c r="L143" s="3">
        <f t="shared" si="29"/>
        <v>-178.75500000000002</v>
      </c>
      <c r="M143" s="3">
        <f t="shared" si="35"/>
        <v>1.2449999999999761</v>
      </c>
      <c r="N143" s="3">
        <f t="shared" si="36"/>
        <v>1.2449999999999761</v>
      </c>
      <c r="O143" s="27">
        <f t="shared" si="37"/>
        <v>1.2449999999999761</v>
      </c>
      <c r="P143" s="17">
        <f t="shared" si="30"/>
        <v>0.7199999999999751</v>
      </c>
      <c r="Q143" s="3">
        <f t="shared" si="31"/>
        <v>-187.113</v>
      </c>
      <c r="R143" s="3">
        <f t="shared" si="38"/>
        <v>-7.1129999999999995</v>
      </c>
      <c r="S143" s="3">
        <f t="shared" si="39"/>
        <v>352.887</v>
      </c>
      <c r="T143" s="27">
        <f t="shared" si="40"/>
        <v>-7.1129999999999995</v>
      </c>
      <c r="U143" s="17">
        <f t="shared" si="32"/>
        <v>-3.6841216216216237</v>
      </c>
      <c r="V143" s="27">
        <f t="shared" si="33"/>
        <v>-3.4489999999999998</v>
      </c>
    </row>
    <row r="144" spans="1:22" s="5" customFormat="1">
      <c r="A144" s="5">
        <v>-60</v>
      </c>
      <c r="B144" s="17">
        <f>B143+10</f>
        <v>130</v>
      </c>
      <c r="C144" s="5">
        <v>120.834</v>
      </c>
      <c r="D144" s="5">
        <v>123.82299999999999</v>
      </c>
      <c r="E144" s="5">
        <f t="shared" si="34"/>
        <v>115.34300000000002</v>
      </c>
      <c r="F144" s="25">
        <f>360-(115.312+D144+C144)</f>
        <v>3.1000000000005912E-2</v>
      </c>
      <c r="G144" s="30">
        <v>1.345</v>
      </c>
      <c r="H144" s="6" t="s">
        <v>170</v>
      </c>
      <c r="I144" s="6">
        <v>-7.04</v>
      </c>
      <c r="J144" s="7">
        <v>177.404</v>
      </c>
      <c r="K144" s="17">
        <v>174.964</v>
      </c>
      <c r="L144" s="3">
        <f t="shared" si="29"/>
        <v>-177.99600000000001</v>
      </c>
      <c r="M144" s="3">
        <f t="shared" si="35"/>
        <v>2.0039999999999907</v>
      </c>
      <c r="N144" s="3">
        <f t="shared" si="36"/>
        <v>2.0039999999999907</v>
      </c>
      <c r="O144" s="27">
        <f t="shared" si="37"/>
        <v>2.0039999999999907</v>
      </c>
      <c r="P144" s="17">
        <f t="shared" si="30"/>
        <v>1.4789999999999897</v>
      </c>
      <c r="Q144" s="3">
        <f t="shared" si="31"/>
        <v>-184.44399999999999</v>
      </c>
      <c r="R144" s="3">
        <f t="shared" si="38"/>
        <v>-4.4439999999999884</v>
      </c>
      <c r="S144" s="3">
        <f t="shared" si="39"/>
        <v>355.55600000000004</v>
      </c>
      <c r="T144" s="27">
        <f t="shared" si="40"/>
        <v>-4.44399999999996</v>
      </c>
      <c r="U144" s="17">
        <f t="shared" si="32"/>
        <v>-1.0151216216215841</v>
      </c>
      <c r="V144" s="27">
        <f t="shared" si="33"/>
        <v>-3.8159999999999998</v>
      </c>
    </row>
    <row r="145" spans="1:22" s="5" customFormat="1">
      <c r="A145" s="5">
        <v>-60</v>
      </c>
      <c r="B145" s="17">
        <f t="shared" si="28"/>
        <v>140</v>
      </c>
      <c r="C145" s="5">
        <v>121.125</v>
      </c>
      <c r="D145" s="5">
        <v>123.90600000000001</v>
      </c>
      <c r="E145" s="5">
        <f t="shared" si="34"/>
        <v>114.96899999999999</v>
      </c>
      <c r="F145" s="25">
        <f>360-(114.917+D145+C145)</f>
        <v>5.2000000000020918E-2</v>
      </c>
      <c r="G145" s="30">
        <v>1.3460000000000001</v>
      </c>
      <c r="H145" s="6" t="s">
        <v>171</v>
      </c>
      <c r="I145" s="6">
        <v>-6.78</v>
      </c>
      <c r="J145" s="7">
        <v>176.04599999999999</v>
      </c>
      <c r="K145" s="17">
        <v>175.81700000000001</v>
      </c>
      <c r="L145" s="3">
        <f t="shared" si="29"/>
        <v>-177.40299999999999</v>
      </c>
      <c r="M145" s="3">
        <f t="shared" si="35"/>
        <v>2.5970000000000084</v>
      </c>
      <c r="N145" s="3">
        <f t="shared" si="36"/>
        <v>2.5970000000000084</v>
      </c>
      <c r="O145" s="27">
        <f t="shared" si="37"/>
        <v>2.5970000000000084</v>
      </c>
      <c r="P145" s="17">
        <f t="shared" si="30"/>
        <v>2.0720000000000072</v>
      </c>
      <c r="Q145" s="3">
        <f t="shared" si="31"/>
        <v>-182.82599999999999</v>
      </c>
      <c r="R145" s="3">
        <f t="shared" si="38"/>
        <v>-2.8259999999999934</v>
      </c>
      <c r="S145" s="3">
        <f t="shared" si="39"/>
        <v>357.17399999999998</v>
      </c>
      <c r="T145" s="27">
        <f t="shared" si="40"/>
        <v>-2.8260000000000218</v>
      </c>
      <c r="U145" s="17">
        <f t="shared" si="32"/>
        <v>0.60287837837835401</v>
      </c>
      <c r="V145" s="27">
        <f t="shared" si="33"/>
        <v>-4.0685000000000002</v>
      </c>
    </row>
    <row r="146" spans="1:22" s="5" customFormat="1">
      <c r="A146" s="5">
        <v>-60</v>
      </c>
      <c r="B146" s="17">
        <f t="shared" si="28"/>
        <v>150</v>
      </c>
      <c r="C146" s="5">
        <v>121.53100000000001</v>
      </c>
      <c r="D146" s="5">
        <v>123.913</v>
      </c>
      <c r="E146" s="5">
        <f t="shared" si="34"/>
        <v>114.55599999999998</v>
      </c>
      <c r="F146" s="25">
        <f>360-(114.471+D146+C146)</f>
        <v>8.4999999999979536E-2</v>
      </c>
      <c r="G146" s="30">
        <v>1.347</v>
      </c>
      <c r="H146" s="6" t="s">
        <v>172</v>
      </c>
      <c r="I146" s="6">
        <v>-7.1820000000000004</v>
      </c>
      <c r="J146" s="7">
        <v>176.386</v>
      </c>
      <c r="K146" s="17">
        <v>176.12200000000001</v>
      </c>
      <c r="L146" s="3">
        <f t="shared" si="29"/>
        <v>-176.696</v>
      </c>
      <c r="M146" s="3">
        <f t="shared" si="35"/>
        <v>3.304000000000002</v>
      </c>
      <c r="N146" s="3">
        <f t="shared" si="36"/>
        <v>3.304000000000002</v>
      </c>
      <c r="O146" s="27">
        <f t="shared" si="37"/>
        <v>3.304000000000002</v>
      </c>
      <c r="P146" s="17">
        <f t="shared" si="30"/>
        <v>2.7790000000000008</v>
      </c>
      <c r="Q146" s="3">
        <f t="shared" si="31"/>
        <v>-183.56799999999998</v>
      </c>
      <c r="R146" s="3">
        <f t="shared" si="38"/>
        <v>-3.5679999999999836</v>
      </c>
      <c r="S146" s="3">
        <f t="shared" si="39"/>
        <v>356.43200000000002</v>
      </c>
      <c r="T146" s="27">
        <f t="shared" si="40"/>
        <v>-3.5679999999999836</v>
      </c>
      <c r="U146" s="17">
        <f t="shared" si="32"/>
        <v>-0.13912162162160779</v>
      </c>
      <c r="V146" s="27">
        <f t="shared" si="33"/>
        <v>-3.746</v>
      </c>
    </row>
    <row r="147" spans="1:22" s="5" customFormat="1">
      <c r="A147" s="5">
        <v>-60</v>
      </c>
      <c r="B147" s="17">
        <f t="shared" si="28"/>
        <v>160</v>
      </c>
      <c r="C147" s="5">
        <v>121.94199999999999</v>
      </c>
      <c r="D147" s="5">
        <v>123.86499999999999</v>
      </c>
      <c r="E147" s="5">
        <f t="shared" si="34"/>
        <v>114.19300000000001</v>
      </c>
      <c r="F147" s="25">
        <f>360-(114.082+D147+C147)</f>
        <v>0.11099999999999</v>
      </c>
      <c r="G147" s="30">
        <v>1.347</v>
      </c>
      <c r="H147" s="7">
        <v>0.64</v>
      </c>
      <c r="I147" s="7">
        <v>-7.4930000000000003</v>
      </c>
      <c r="J147" s="7">
        <v>176.86699999999999</v>
      </c>
      <c r="K147" s="17">
        <v>176.28</v>
      </c>
      <c r="L147" s="3">
        <f t="shared" si="29"/>
        <v>-176.227</v>
      </c>
      <c r="M147" s="3">
        <f t="shared" si="35"/>
        <v>3.7729999999999961</v>
      </c>
      <c r="N147" s="3">
        <f t="shared" si="36"/>
        <v>3.7729999999999961</v>
      </c>
      <c r="O147" s="27">
        <f t="shared" si="37"/>
        <v>3.7729999999999961</v>
      </c>
      <c r="P147" s="17">
        <f t="shared" si="30"/>
        <v>3.2479999999999949</v>
      </c>
      <c r="Q147" s="3">
        <f t="shared" si="31"/>
        <v>-184.35999999999999</v>
      </c>
      <c r="R147" s="3">
        <f t="shared" si="38"/>
        <v>-4.3599999999999852</v>
      </c>
      <c r="S147" s="3">
        <f t="shared" si="39"/>
        <v>355.64</v>
      </c>
      <c r="T147" s="27">
        <f t="shared" si="40"/>
        <v>-4.3600000000000136</v>
      </c>
      <c r="U147" s="17">
        <f t="shared" si="32"/>
        <v>-0.93112162162163781</v>
      </c>
      <c r="V147" s="27">
        <f t="shared" si="33"/>
        <v>-3.4265000000000003</v>
      </c>
    </row>
    <row r="148" spans="1:22" s="5" customFormat="1">
      <c r="A148" s="5">
        <v>-60</v>
      </c>
      <c r="B148" s="17">
        <f t="shared" si="28"/>
        <v>170</v>
      </c>
      <c r="C148" s="5">
        <v>122.20399999999999</v>
      </c>
      <c r="D148" s="5">
        <v>123.986</v>
      </c>
      <c r="E148" s="5">
        <f t="shared" si="34"/>
        <v>113.81</v>
      </c>
      <c r="F148" s="25">
        <f>360-(113.709+D148+C148)</f>
        <v>0.10099999999999909</v>
      </c>
      <c r="G148" s="30">
        <v>1.3480000000000001</v>
      </c>
      <c r="H148" s="7">
        <v>1.8620000000000001</v>
      </c>
      <c r="I148" s="7">
        <v>-6.4290000000000003</v>
      </c>
      <c r="J148" s="7">
        <v>178.28</v>
      </c>
      <c r="K148" s="17">
        <v>177.15199999999999</v>
      </c>
      <c r="L148" s="3">
        <f t="shared" si="29"/>
        <v>-176.41800000000001</v>
      </c>
      <c r="M148" s="3">
        <f t="shared" si="35"/>
        <v>3.5819999999999936</v>
      </c>
      <c r="N148" s="3">
        <f t="shared" si="36"/>
        <v>3.5819999999999936</v>
      </c>
      <c r="O148" s="27">
        <f t="shared" si="37"/>
        <v>3.5819999999999936</v>
      </c>
      <c r="P148" s="17">
        <f t="shared" si="30"/>
        <v>3.0569999999999924</v>
      </c>
      <c r="Q148" s="3">
        <f t="shared" si="31"/>
        <v>-184.709</v>
      </c>
      <c r="R148" s="3">
        <f t="shared" si="38"/>
        <v>-4.7090000000000032</v>
      </c>
      <c r="S148" s="3">
        <f t="shared" si="39"/>
        <v>355.291</v>
      </c>
      <c r="T148" s="27">
        <f t="shared" si="40"/>
        <v>-4.7090000000000032</v>
      </c>
      <c r="U148" s="17">
        <f t="shared" si="32"/>
        <v>-1.2801216216216273</v>
      </c>
      <c r="V148" s="27">
        <f t="shared" si="33"/>
        <v>-2.2835000000000001</v>
      </c>
    </row>
    <row r="149" spans="1:22" s="11" customFormat="1" ht="19" thickBot="1">
      <c r="A149" s="11">
        <v>-60</v>
      </c>
      <c r="B149" s="18">
        <f t="shared" si="28"/>
        <v>180</v>
      </c>
      <c r="C149" s="11">
        <v>122.389</v>
      </c>
      <c r="D149" s="11">
        <v>123.842</v>
      </c>
      <c r="E149" s="11">
        <f t="shared" si="34"/>
        <v>113.76900000000001</v>
      </c>
      <c r="F149" s="26">
        <f>360-(113.689+D149+C149)</f>
        <v>7.9999999999984084E-2</v>
      </c>
      <c r="G149" s="31">
        <v>1.349</v>
      </c>
      <c r="H149" s="13">
        <v>3.3220000000000001</v>
      </c>
      <c r="I149" s="13">
        <v>-5.7510000000000003</v>
      </c>
      <c r="J149" s="12" t="s">
        <v>143</v>
      </c>
      <c r="K149" s="18">
        <v>177.446</v>
      </c>
      <c r="L149" s="11">
        <f t="shared" si="29"/>
        <v>183.197</v>
      </c>
      <c r="M149" s="11">
        <f t="shared" si="35"/>
        <v>363.197</v>
      </c>
      <c r="N149" s="11">
        <f t="shared" si="36"/>
        <v>3.1970000000000027</v>
      </c>
      <c r="O149" s="28">
        <f t="shared" si="37"/>
        <v>3.1970000000000027</v>
      </c>
      <c r="P149" s="18">
        <f t="shared" si="30"/>
        <v>2.6720000000000015</v>
      </c>
      <c r="Q149" s="11">
        <f t="shared" si="31"/>
        <v>174.124</v>
      </c>
      <c r="R149" s="11">
        <f t="shared" si="38"/>
        <v>354.12400000000002</v>
      </c>
      <c r="S149" s="11">
        <f t="shared" si="39"/>
        <v>354.12400000000002</v>
      </c>
      <c r="T149" s="28">
        <f t="shared" si="40"/>
        <v>-5.8759999999999764</v>
      </c>
      <c r="U149" s="18">
        <f t="shared" si="32"/>
        <v>-2.4471216216216005</v>
      </c>
      <c r="V149" s="28">
        <f t="shared" si="33"/>
        <v>-1.2145000000000001</v>
      </c>
    </row>
    <row r="150" spans="1:22" s="5" customFormat="1" ht="19" thickTop="1">
      <c r="A150" s="5">
        <v>60</v>
      </c>
      <c r="B150" s="17">
        <v>-180</v>
      </c>
      <c r="C150" s="5">
        <v>122.372</v>
      </c>
      <c r="D150" s="5">
        <v>123.845</v>
      </c>
      <c r="E150" s="5">
        <f t="shared" ref="E150:E213" si="41">360-(C150+D150)</f>
        <v>113.78300000000002</v>
      </c>
      <c r="F150" s="25">
        <f>360-(113.745+D150+C150)</f>
        <v>3.8000000000010914E-2</v>
      </c>
      <c r="G150" s="30">
        <v>1.3480000000000001</v>
      </c>
      <c r="H150" s="6" t="s">
        <v>177</v>
      </c>
      <c r="I150" s="6">
        <v>0.65300000000000002</v>
      </c>
      <c r="J150" s="6" t="s">
        <v>176</v>
      </c>
      <c r="K150" s="17">
        <v>178.44499999999999</v>
      </c>
      <c r="L150" s="3">
        <f t="shared" si="29"/>
        <v>177.792</v>
      </c>
      <c r="M150" s="3">
        <f t="shared" ref="M150:M213" si="42">L150+180</f>
        <v>357.79200000000003</v>
      </c>
      <c r="N150" s="3">
        <f t="shared" ref="N150:N213" si="43">MOD(M150,360)</f>
        <v>357.79200000000003</v>
      </c>
      <c r="O150" s="27">
        <f t="shared" ref="O150:O213" si="44">IF(N150&gt;=180,N150-360,N150)</f>
        <v>-2.20799999999997</v>
      </c>
      <c r="P150" s="17">
        <f t="shared" si="30"/>
        <v>-2.7329999999999712</v>
      </c>
      <c r="Q150" s="3">
        <f t="shared" si="31"/>
        <v>178.673</v>
      </c>
      <c r="R150" s="3">
        <f t="shared" si="38"/>
        <v>358.673</v>
      </c>
      <c r="S150" s="3">
        <f t="shared" si="39"/>
        <v>358.673</v>
      </c>
      <c r="T150" s="27">
        <f t="shared" si="40"/>
        <v>-1.3269999999999982</v>
      </c>
      <c r="U150" s="17">
        <f t="shared" si="32"/>
        <v>2.1018783783783777</v>
      </c>
      <c r="V150" s="27">
        <f t="shared" si="33"/>
        <v>0.21250000000000002</v>
      </c>
    </row>
    <row r="151" spans="1:22" s="5" customFormat="1">
      <c r="A151" s="5">
        <v>60</v>
      </c>
      <c r="B151" s="17">
        <f>B150+10</f>
        <v>-170</v>
      </c>
      <c r="C151" s="5">
        <v>122.197</v>
      </c>
      <c r="D151" s="5">
        <v>123.90300000000001</v>
      </c>
      <c r="E151" s="5">
        <f t="shared" si="41"/>
        <v>113.89999999999998</v>
      </c>
      <c r="F151" s="25">
        <f>360-(113.851+D151+C151)</f>
        <v>4.8999999999978172E-2</v>
      </c>
      <c r="G151" s="30">
        <v>1.3480000000000001</v>
      </c>
      <c r="H151" s="7">
        <v>1.2529999999999999</v>
      </c>
      <c r="I151" s="7">
        <v>1.5289999999999999</v>
      </c>
      <c r="J151" s="6" t="s">
        <v>173</v>
      </c>
      <c r="K151" s="17">
        <v>179.02199999999999</v>
      </c>
      <c r="L151" s="3">
        <f t="shared" si="29"/>
        <v>177.49299999999999</v>
      </c>
      <c r="M151" s="3">
        <f t="shared" si="42"/>
        <v>357.49299999999999</v>
      </c>
      <c r="N151" s="3">
        <f t="shared" si="43"/>
        <v>357.49299999999999</v>
      </c>
      <c r="O151" s="27">
        <f t="shared" si="44"/>
        <v>-2.507000000000005</v>
      </c>
      <c r="P151" s="17">
        <f t="shared" si="30"/>
        <v>-3.0320000000000062</v>
      </c>
      <c r="Q151" s="3">
        <f t="shared" si="31"/>
        <v>177.76900000000001</v>
      </c>
      <c r="R151" s="3">
        <f t="shared" si="38"/>
        <v>357.76900000000001</v>
      </c>
      <c r="S151" s="3">
        <f t="shared" si="39"/>
        <v>357.76900000000001</v>
      </c>
      <c r="T151" s="27">
        <f t="shared" si="40"/>
        <v>-2.2309999999999945</v>
      </c>
      <c r="U151" s="17">
        <f t="shared" si="32"/>
        <v>1.1978783783783813</v>
      </c>
      <c r="V151" s="27">
        <f t="shared" si="33"/>
        <v>1.391</v>
      </c>
    </row>
    <row r="152" spans="1:22" s="5" customFormat="1">
      <c r="A152" s="5">
        <v>60</v>
      </c>
      <c r="B152" s="17">
        <f t="shared" ref="B152:B184" si="45">B151+10</f>
        <v>-160</v>
      </c>
      <c r="C152" s="5">
        <v>121.943</v>
      </c>
      <c r="D152" s="5">
        <v>123.873</v>
      </c>
      <c r="E152" s="5">
        <f t="shared" si="41"/>
        <v>114.184</v>
      </c>
      <c r="F152" s="25">
        <f>360-(114.139+D152+C152)</f>
        <v>4.5000000000015916E-2</v>
      </c>
      <c r="G152" s="30">
        <v>1.347</v>
      </c>
      <c r="H152" s="7">
        <v>3.3319999999999999</v>
      </c>
      <c r="I152" s="7">
        <v>1.4950000000000001</v>
      </c>
      <c r="J152" s="6" t="s">
        <v>207</v>
      </c>
      <c r="K152" s="17">
        <v>179.08600000000001</v>
      </c>
      <c r="L152" s="3">
        <f t="shared" si="29"/>
        <v>177.59099999999998</v>
      </c>
      <c r="M152" s="3">
        <f t="shared" si="42"/>
        <v>357.59100000000001</v>
      </c>
      <c r="N152" s="3">
        <f t="shared" si="43"/>
        <v>357.59100000000001</v>
      </c>
      <c r="O152" s="27">
        <f t="shared" si="44"/>
        <v>-2.4089999999999918</v>
      </c>
      <c r="P152" s="17">
        <f t="shared" si="30"/>
        <v>-2.9339999999999931</v>
      </c>
      <c r="Q152" s="3">
        <f t="shared" si="31"/>
        <v>175.75399999999999</v>
      </c>
      <c r="R152" s="3">
        <f t="shared" si="38"/>
        <v>355.75400000000002</v>
      </c>
      <c r="S152" s="3">
        <f t="shared" si="39"/>
        <v>355.75400000000002</v>
      </c>
      <c r="T152" s="27">
        <f t="shared" si="40"/>
        <v>-4.2459999999999809</v>
      </c>
      <c r="U152" s="17">
        <f t="shared" si="32"/>
        <v>-0.81712162162160507</v>
      </c>
      <c r="V152" s="27">
        <f t="shared" si="33"/>
        <v>2.4135</v>
      </c>
    </row>
    <row r="153" spans="1:22" s="5" customFormat="1">
      <c r="A153" s="5">
        <v>60</v>
      </c>
      <c r="B153" s="17">
        <f t="shared" si="45"/>
        <v>-150</v>
      </c>
      <c r="C153" s="5">
        <v>121.577</v>
      </c>
      <c r="D153" s="5">
        <v>123.91200000000001</v>
      </c>
      <c r="E153" s="5">
        <f t="shared" si="41"/>
        <v>114.511</v>
      </c>
      <c r="F153" s="25">
        <f>360-(114.474+D153+C153)</f>
        <v>3.6999999999977717E-2</v>
      </c>
      <c r="G153" s="30">
        <v>1.347</v>
      </c>
      <c r="H153" s="7">
        <v>3.9119999999999999</v>
      </c>
      <c r="I153" s="7">
        <v>1.851</v>
      </c>
      <c r="J153" s="6" t="s">
        <v>206</v>
      </c>
      <c r="K153" s="17">
        <v>179.661</v>
      </c>
      <c r="L153" s="3">
        <f t="shared" si="29"/>
        <v>177.81</v>
      </c>
      <c r="M153" s="3">
        <f t="shared" si="42"/>
        <v>357.81</v>
      </c>
      <c r="N153" s="3">
        <f t="shared" si="43"/>
        <v>357.81</v>
      </c>
      <c r="O153" s="27">
        <f t="shared" si="44"/>
        <v>-2.1899999999999977</v>
      </c>
      <c r="P153" s="17">
        <f t="shared" si="30"/>
        <v>-2.714999999999999</v>
      </c>
      <c r="Q153" s="3">
        <f t="shared" si="31"/>
        <v>175.749</v>
      </c>
      <c r="R153" s="3">
        <f t="shared" si="38"/>
        <v>355.74900000000002</v>
      </c>
      <c r="S153" s="3">
        <f t="shared" si="39"/>
        <v>355.74900000000002</v>
      </c>
      <c r="T153" s="27">
        <f t="shared" si="40"/>
        <v>-4.2509999999999764</v>
      </c>
      <c r="U153" s="17">
        <f t="shared" si="32"/>
        <v>-0.82212162162160052</v>
      </c>
      <c r="V153" s="27">
        <f t="shared" si="33"/>
        <v>2.8815</v>
      </c>
    </row>
    <row r="154" spans="1:22" s="5" customFormat="1">
      <c r="A154" s="5">
        <v>60</v>
      </c>
      <c r="B154" s="17">
        <f t="shared" si="45"/>
        <v>-140</v>
      </c>
      <c r="C154" s="5">
        <v>121.166</v>
      </c>
      <c r="D154" s="5">
        <v>123.851</v>
      </c>
      <c r="E154" s="5">
        <f t="shared" si="41"/>
        <v>114.983</v>
      </c>
      <c r="F154" s="25">
        <f>360-(114.966+D154+C154)</f>
        <v>1.6999999999995907E-2</v>
      </c>
      <c r="G154" s="30">
        <v>1.3460000000000001</v>
      </c>
      <c r="H154" s="7">
        <v>4.968</v>
      </c>
      <c r="I154" s="7">
        <v>1.109</v>
      </c>
      <c r="J154" s="6" t="s">
        <v>205</v>
      </c>
      <c r="K154" s="17">
        <v>179.64500000000001</v>
      </c>
      <c r="L154" s="3">
        <f t="shared" si="29"/>
        <v>178.536</v>
      </c>
      <c r="M154" s="3">
        <f t="shared" si="42"/>
        <v>358.536</v>
      </c>
      <c r="N154" s="3">
        <f t="shared" si="43"/>
        <v>358.536</v>
      </c>
      <c r="O154" s="27">
        <f t="shared" si="44"/>
        <v>-1.4639999999999986</v>
      </c>
      <c r="P154" s="17">
        <f t="shared" si="30"/>
        <v>-1.9889999999999997</v>
      </c>
      <c r="Q154" s="3">
        <f t="shared" si="31"/>
        <v>174.67700000000002</v>
      </c>
      <c r="R154" s="3">
        <f t="shared" si="38"/>
        <v>354.67700000000002</v>
      </c>
      <c r="S154" s="3">
        <f t="shared" si="39"/>
        <v>354.67700000000002</v>
      </c>
      <c r="T154" s="27">
        <f t="shared" si="40"/>
        <v>-5.3229999999999791</v>
      </c>
      <c r="U154" s="17">
        <f t="shared" si="32"/>
        <v>-1.8941216216216032</v>
      </c>
      <c r="V154" s="27">
        <f t="shared" si="33"/>
        <v>3.0385</v>
      </c>
    </row>
    <row r="155" spans="1:22" s="5" customFormat="1">
      <c r="A155" s="5">
        <v>60</v>
      </c>
      <c r="B155" s="17">
        <f t="shared" si="45"/>
        <v>-130</v>
      </c>
      <c r="C155" s="5">
        <v>120.736</v>
      </c>
      <c r="D155" s="5">
        <v>123.92700000000001</v>
      </c>
      <c r="E155" s="5">
        <f t="shared" si="41"/>
        <v>115.33699999999999</v>
      </c>
      <c r="F155" s="25">
        <f>360-(115.331+D155+C155)</f>
        <v>5.9999999999718057E-3</v>
      </c>
      <c r="G155" s="30">
        <v>1.345</v>
      </c>
      <c r="H155" s="7">
        <v>2.8610000000000002</v>
      </c>
      <c r="I155" s="7">
        <v>2.4620000000000002</v>
      </c>
      <c r="J155" s="6" t="s">
        <v>204</v>
      </c>
      <c r="K155" s="17">
        <v>178.43299999999999</v>
      </c>
      <c r="L155" s="3">
        <f t="shared" si="29"/>
        <v>179.10399999999998</v>
      </c>
      <c r="M155" s="3">
        <f t="shared" si="42"/>
        <v>359.10399999999998</v>
      </c>
      <c r="N155" s="3">
        <f t="shared" si="43"/>
        <v>359.10399999999998</v>
      </c>
      <c r="O155" s="27">
        <f t="shared" si="44"/>
        <v>-0.89600000000001501</v>
      </c>
      <c r="P155" s="17">
        <f t="shared" si="30"/>
        <v>-1.421000000000016</v>
      </c>
      <c r="Q155" s="3">
        <f t="shared" si="31"/>
        <v>178.70499999999998</v>
      </c>
      <c r="R155" s="3">
        <f t="shared" si="38"/>
        <v>358.70499999999998</v>
      </c>
      <c r="S155" s="3">
        <f t="shared" si="39"/>
        <v>358.70499999999998</v>
      </c>
      <c r="T155" s="27">
        <f t="shared" si="40"/>
        <v>-1.2950000000000159</v>
      </c>
      <c r="U155" s="17">
        <f t="shared" si="32"/>
        <v>2.1338783783783599</v>
      </c>
      <c r="V155" s="27">
        <f t="shared" si="33"/>
        <v>2.6615000000000002</v>
      </c>
    </row>
    <row r="156" spans="1:22" s="5" customFormat="1">
      <c r="A156" s="5">
        <v>60</v>
      </c>
      <c r="B156" s="17">
        <f t="shared" si="45"/>
        <v>-120</v>
      </c>
      <c r="C156" s="5">
        <v>120.423</v>
      </c>
      <c r="D156" s="5">
        <v>124.074</v>
      </c>
      <c r="E156" s="5">
        <f t="shared" si="41"/>
        <v>115.50299999999999</v>
      </c>
      <c r="F156" s="25">
        <f>360-(115.502+D156+C156)</f>
        <v>9.9999999997635314E-4</v>
      </c>
      <c r="G156" s="30">
        <v>1.3440000000000001</v>
      </c>
      <c r="H156" s="7">
        <v>1.702</v>
      </c>
      <c r="I156" s="7">
        <v>3.472</v>
      </c>
      <c r="J156" s="6" t="s">
        <v>203</v>
      </c>
      <c r="K156" s="17">
        <v>176.84700000000001</v>
      </c>
      <c r="L156" s="3">
        <f t="shared" si="29"/>
        <v>179.68100000000001</v>
      </c>
      <c r="M156" s="3">
        <f t="shared" si="42"/>
        <v>359.68100000000004</v>
      </c>
      <c r="N156" s="3">
        <f t="shared" si="43"/>
        <v>359.68100000000004</v>
      </c>
      <c r="O156" s="27">
        <f t="shared" si="44"/>
        <v>-0.31899999999995998</v>
      </c>
      <c r="P156" s="17">
        <f t="shared" si="30"/>
        <v>-0.843999999999961</v>
      </c>
      <c r="Q156" s="3">
        <f t="shared" si="31"/>
        <v>181.45100000000002</v>
      </c>
      <c r="R156" s="3">
        <f t="shared" si="38"/>
        <v>361.45100000000002</v>
      </c>
      <c r="S156" s="3">
        <f t="shared" si="39"/>
        <v>1.4510000000000218</v>
      </c>
      <c r="T156" s="27">
        <f t="shared" si="40"/>
        <v>1.4510000000000218</v>
      </c>
      <c r="U156" s="17">
        <f t="shared" si="32"/>
        <v>4.8798783783783977</v>
      </c>
      <c r="V156" s="27">
        <f t="shared" si="33"/>
        <v>2.5869999999999997</v>
      </c>
    </row>
    <row r="157" spans="1:22" s="5" customFormat="1">
      <c r="A157" s="5">
        <v>60</v>
      </c>
      <c r="B157" s="17">
        <f t="shared" si="45"/>
        <v>-110</v>
      </c>
      <c r="C157" s="5">
        <v>120.271</v>
      </c>
      <c r="D157" s="5">
        <v>123.899</v>
      </c>
      <c r="E157" s="5">
        <f t="shared" si="41"/>
        <v>115.82999999999998</v>
      </c>
      <c r="F157" s="25">
        <f>360-(115.829+D157+C157)</f>
        <v>9.9999999997635314E-4</v>
      </c>
      <c r="G157" s="30">
        <v>1.343</v>
      </c>
      <c r="H157" s="7">
        <v>4.2999999999999997E-2</v>
      </c>
      <c r="I157" s="7">
        <v>5.6790000000000003</v>
      </c>
      <c r="J157" s="6" t="s">
        <v>202</v>
      </c>
      <c r="K157" s="17">
        <v>174.626</v>
      </c>
      <c r="L157" s="3">
        <f t="shared" si="29"/>
        <v>179.69499999999999</v>
      </c>
      <c r="M157" s="3">
        <f t="shared" si="42"/>
        <v>359.69499999999999</v>
      </c>
      <c r="N157" s="3">
        <f t="shared" si="43"/>
        <v>359.69499999999999</v>
      </c>
      <c r="O157" s="27">
        <f t="shared" si="44"/>
        <v>-0.30500000000000682</v>
      </c>
      <c r="P157" s="17">
        <f t="shared" si="30"/>
        <v>-0.83000000000000784</v>
      </c>
      <c r="Q157" s="3">
        <f t="shared" si="31"/>
        <v>185.33099999999999</v>
      </c>
      <c r="R157" s="3">
        <f t="shared" si="38"/>
        <v>365.33100000000002</v>
      </c>
      <c r="S157" s="3">
        <f t="shared" si="39"/>
        <v>5.3310000000000173</v>
      </c>
      <c r="T157" s="27">
        <f t="shared" si="40"/>
        <v>5.3310000000000173</v>
      </c>
      <c r="U157" s="17">
        <f t="shared" si="32"/>
        <v>8.7598783783783922</v>
      </c>
      <c r="V157" s="27">
        <f t="shared" si="33"/>
        <v>2.8610000000000002</v>
      </c>
    </row>
    <row r="158" spans="1:22" s="5" customFormat="1">
      <c r="A158" s="5">
        <v>60</v>
      </c>
      <c r="B158" s="17">
        <f t="shared" si="45"/>
        <v>-100</v>
      </c>
      <c r="C158" s="5">
        <v>120.286</v>
      </c>
      <c r="D158" s="5">
        <v>123.857</v>
      </c>
      <c r="E158" s="5">
        <f t="shared" si="41"/>
        <v>115.857</v>
      </c>
      <c r="F158" s="25">
        <f>360-(115.853+D158+C158)</f>
        <v>4.0000000000190994E-3</v>
      </c>
      <c r="G158" s="30">
        <v>1.343</v>
      </c>
      <c r="H158" s="6" t="s">
        <v>201</v>
      </c>
      <c r="I158" s="6">
        <v>8.8979999999999997</v>
      </c>
      <c r="J158" s="7">
        <v>178.69399999999999</v>
      </c>
      <c r="K158" s="17">
        <v>171.858</v>
      </c>
      <c r="L158" s="3">
        <f t="shared" si="29"/>
        <v>-180.75699999999998</v>
      </c>
      <c r="M158" s="3">
        <f t="shared" si="42"/>
        <v>-0.75699999999997658</v>
      </c>
      <c r="N158" s="3">
        <f t="shared" si="43"/>
        <v>359.24300000000005</v>
      </c>
      <c r="O158" s="27">
        <f t="shared" si="44"/>
        <v>-0.75699999999994816</v>
      </c>
      <c r="P158" s="17">
        <f t="shared" si="30"/>
        <v>-1.2819999999999492</v>
      </c>
      <c r="Q158" s="3">
        <f t="shared" si="31"/>
        <v>-169.79599999999999</v>
      </c>
      <c r="R158" s="3">
        <f t="shared" si="38"/>
        <v>10.204000000000008</v>
      </c>
      <c r="S158" s="3">
        <f t="shared" si="39"/>
        <v>10.204000000000008</v>
      </c>
      <c r="T158" s="27">
        <f t="shared" si="40"/>
        <v>10.204000000000008</v>
      </c>
      <c r="U158" s="17">
        <f t="shared" si="32"/>
        <v>13.632878378378383</v>
      </c>
      <c r="V158" s="27">
        <f t="shared" si="33"/>
        <v>3.4174999999999995</v>
      </c>
    </row>
    <row r="159" spans="1:22" s="5" customFormat="1">
      <c r="A159" s="5">
        <v>60</v>
      </c>
      <c r="B159" s="17">
        <f t="shared" si="45"/>
        <v>-90</v>
      </c>
      <c r="C159" s="5">
        <v>120.346</v>
      </c>
      <c r="D159" s="5">
        <v>123.864</v>
      </c>
      <c r="E159" s="5">
        <f t="shared" si="41"/>
        <v>115.78999999999999</v>
      </c>
      <c r="F159" s="25">
        <f>360-(115.766+D159+C159)</f>
        <v>2.4000000000000909E-2</v>
      </c>
      <c r="G159" s="30">
        <v>1.3440000000000001</v>
      </c>
      <c r="H159" s="6" t="s">
        <v>200</v>
      </c>
      <c r="I159" s="6">
        <v>12.106999999999999</v>
      </c>
      <c r="J159" s="7">
        <v>178.131</v>
      </c>
      <c r="K159" s="17">
        <v>169.69300000000001</v>
      </c>
      <c r="L159" s="3">
        <f t="shared" si="29"/>
        <v>-181.8</v>
      </c>
      <c r="M159" s="3">
        <f t="shared" si="42"/>
        <v>-1.8000000000000114</v>
      </c>
      <c r="N159" s="3">
        <f t="shared" si="43"/>
        <v>358.2</v>
      </c>
      <c r="O159" s="27">
        <f t="shared" si="44"/>
        <v>-1.8000000000000114</v>
      </c>
      <c r="P159" s="17">
        <f t="shared" si="30"/>
        <v>-2.3250000000000126</v>
      </c>
      <c r="Q159" s="3">
        <f t="shared" si="31"/>
        <v>-166.024</v>
      </c>
      <c r="R159" s="3">
        <f t="shared" si="38"/>
        <v>13.975999999999999</v>
      </c>
      <c r="S159" s="3">
        <f t="shared" si="39"/>
        <v>13.975999999999999</v>
      </c>
      <c r="T159" s="27">
        <f t="shared" si="40"/>
        <v>13.975999999999999</v>
      </c>
      <c r="U159" s="17">
        <f t="shared" si="32"/>
        <v>17.404878378378374</v>
      </c>
      <c r="V159" s="27">
        <f t="shared" si="33"/>
        <v>4.2189999999999994</v>
      </c>
    </row>
    <row r="160" spans="1:22" s="5" customFormat="1">
      <c r="A160" s="5">
        <v>60</v>
      </c>
      <c r="B160" s="17">
        <f t="shared" si="45"/>
        <v>-80</v>
      </c>
      <c r="C160" s="5">
        <v>120.05500000000001</v>
      </c>
      <c r="D160" s="5">
        <v>124.003</v>
      </c>
      <c r="E160" s="5">
        <f t="shared" si="41"/>
        <v>115.94200000000001</v>
      </c>
      <c r="F160" s="25">
        <f>360-(115.881+D160+C160)</f>
        <v>6.0999999999978627E-2</v>
      </c>
      <c r="G160" s="30">
        <v>1.3440000000000001</v>
      </c>
      <c r="H160" s="6" t="s">
        <v>199</v>
      </c>
      <c r="I160" s="6">
        <v>12.084</v>
      </c>
      <c r="J160" s="7">
        <v>179.34700000000001</v>
      </c>
      <c r="K160" s="17">
        <v>170.77199999999999</v>
      </c>
      <c r="L160" s="3">
        <f t="shared" si="29"/>
        <v>-182.85599999999999</v>
      </c>
      <c r="M160" s="3">
        <f t="shared" si="42"/>
        <v>-2.8559999999999945</v>
      </c>
      <c r="N160" s="3">
        <f t="shared" si="43"/>
        <v>357.14400000000001</v>
      </c>
      <c r="O160" s="27">
        <f t="shared" si="44"/>
        <v>-2.8559999999999945</v>
      </c>
      <c r="P160" s="17">
        <f t="shared" si="30"/>
        <v>-3.3809999999999958</v>
      </c>
      <c r="Q160" s="3">
        <f t="shared" si="31"/>
        <v>-167.26300000000001</v>
      </c>
      <c r="R160" s="3">
        <f t="shared" si="38"/>
        <v>12.736999999999995</v>
      </c>
      <c r="S160" s="3">
        <f t="shared" si="39"/>
        <v>12.736999999999995</v>
      </c>
      <c r="T160" s="27">
        <f t="shared" si="40"/>
        <v>12.736999999999995</v>
      </c>
      <c r="U160" s="17">
        <f t="shared" si="32"/>
        <v>16.16587837837837</v>
      </c>
      <c r="V160" s="27">
        <f t="shared" si="33"/>
        <v>4.2874999999999996</v>
      </c>
    </row>
    <row r="161" spans="1:22" s="5" customFormat="1">
      <c r="A161" s="5">
        <v>60</v>
      </c>
      <c r="B161" s="17">
        <f t="shared" si="45"/>
        <v>-70</v>
      </c>
      <c r="C161" s="5">
        <v>119.66800000000001</v>
      </c>
      <c r="D161" s="5">
        <v>123.76300000000001</v>
      </c>
      <c r="E161" s="5">
        <f t="shared" si="41"/>
        <v>116.56899999999999</v>
      </c>
      <c r="F161" s="25">
        <f>360-(116.49+D161+C161)</f>
        <v>7.9000000000007731E-2</v>
      </c>
      <c r="G161" s="30">
        <v>1.3420000000000001</v>
      </c>
      <c r="H161" s="6" t="s">
        <v>198</v>
      </c>
      <c r="I161" s="6">
        <v>9.2650000000000006</v>
      </c>
      <c r="J161" s="6" t="s">
        <v>197</v>
      </c>
      <c r="K161" s="17">
        <v>173.983</v>
      </c>
      <c r="L161" s="3">
        <f t="shared" si="29"/>
        <v>176.75099999999998</v>
      </c>
      <c r="M161" s="3">
        <f t="shared" si="42"/>
        <v>356.75099999999998</v>
      </c>
      <c r="N161" s="3">
        <f t="shared" si="43"/>
        <v>356.75099999999998</v>
      </c>
      <c r="O161" s="27">
        <f t="shared" si="44"/>
        <v>-3.2490000000000236</v>
      </c>
      <c r="P161" s="17">
        <f t="shared" si="30"/>
        <v>-3.7740000000000249</v>
      </c>
      <c r="Q161" s="3">
        <f t="shared" si="31"/>
        <v>188.786</v>
      </c>
      <c r="R161" s="3">
        <f t="shared" si="38"/>
        <v>368.786</v>
      </c>
      <c r="S161" s="3">
        <f t="shared" si="39"/>
        <v>8.7860000000000014</v>
      </c>
      <c r="T161" s="27">
        <f t="shared" si="40"/>
        <v>8.7860000000000014</v>
      </c>
      <c r="U161" s="17">
        <f t="shared" si="32"/>
        <v>12.214878378378376</v>
      </c>
      <c r="V161" s="27">
        <f t="shared" si="33"/>
        <v>3.2475000000000005</v>
      </c>
    </row>
    <row r="162" spans="1:22" s="5" customFormat="1">
      <c r="A162" s="5">
        <v>60</v>
      </c>
      <c r="B162" s="17">
        <f t="shared" si="45"/>
        <v>-60</v>
      </c>
      <c r="C162" s="5">
        <v>119.137</v>
      </c>
      <c r="D162" s="5">
        <v>123.812</v>
      </c>
      <c r="E162" s="5">
        <f t="shared" si="41"/>
        <v>117.05099999999999</v>
      </c>
      <c r="F162" s="25">
        <f>360-(116.971+D162+C162)</f>
        <v>7.9999999999984084E-2</v>
      </c>
      <c r="G162" s="30">
        <v>1.341</v>
      </c>
      <c r="H162" s="6" t="s">
        <v>196</v>
      </c>
      <c r="I162" s="6">
        <v>4.5270000000000001</v>
      </c>
      <c r="J162" s="6" t="s">
        <v>195</v>
      </c>
      <c r="K162" s="17">
        <v>178.69499999999999</v>
      </c>
      <c r="L162" s="3">
        <f t="shared" si="29"/>
        <v>176.77799999999999</v>
      </c>
      <c r="M162" s="3">
        <f t="shared" si="42"/>
        <v>356.77800000000002</v>
      </c>
      <c r="N162" s="3">
        <f t="shared" si="43"/>
        <v>356.77800000000002</v>
      </c>
      <c r="O162" s="27">
        <f t="shared" si="44"/>
        <v>-3.22199999999998</v>
      </c>
      <c r="P162" s="17">
        <f t="shared" si="30"/>
        <v>-3.7469999999999812</v>
      </c>
      <c r="Q162" s="3">
        <f t="shared" si="31"/>
        <v>182.92699999999999</v>
      </c>
      <c r="R162" s="3">
        <f t="shared" si="38"/>
        <v>362.92700000000002</v>
      </c>
      <c r="S162" s="3">
        <f t="shared" si="39"/>
        <v>2.9270000000000209</v>
      </c>
      <c r="T162" s="27">
        <f t="shared" si="40"/>
        <v>2.9270000000000209</v>
      </c>
      <c r="U162" s="17">
        <f t="shared" si="32"/>
        <v>6.3558783783783968</v>
      </c>
      <c r="V162" s="27">
        <f t="shared" si="33"/>
        <v>1.4525000000000001</v>
      </c>
    </row>
    <row r="163" spans="1:22" s="5" customFormat="1">
      <c r="A163" s="5">
        <v>60</v>
      </c>
      <c r="B163" s="17">
        <f t="shared" si="45"/>
        <v>-50</v>
      </c>
      <c r="C163" s="5">
        <v>118.488</v>
      </c>
      <c r="D163" s="5">
        <v>123.935</v>
      </c>
      <c r="E163" s="5">
        <f t="shared" si="41"/>
        <v>117.577</v>
      </c>
      <c r="F163" s="25">
        <f>360-(117.512+D163+C163)</f>
        <v>6.4999999999997726E-2</v>
      </c>
      <c r="G163" s="30">
        <v>1.341</v>
      </c>
      <c r="H163" s="6" t="s">
        <v>194</v>
      </c>
      <c r="I163" s="6">
        <v>-0.72599999999999998</v>
      </c>
      <c r="J163" s="6" t="s">
        <v>193</v>
      </c>
      <c r="K163" s="17">
        <v>176.29</v>
      </c>
      <c r="L163" s="3">
        <f t="shared" si="29"/>
        <v>177.01599999999999</v>
      </c>
      <c r="M163" s="3">
        <f t="shared" si="42"/>
        <v>357.01599999999996</v>
      </c>
      <c r="N163" s="3">
        <f t="shared" si="43"/>
        <v>357.01599999999996</v>
      </c>
      <c r="O163" s="27">
        <f t="shared" si="44"/>
        <v>-2.9840000000000373</v>
      </c>
      <c r="P163" s="17">
        <f t="shared" si="30"/>
        <v>-3.5090000000000385</v>
      </c>
      <c r="Q163" s="3">
        <f t="shared" si="31"/>
        <v>176.346</v>
      </c>
      <c r="R163" s="3">
        <f t="shared" si="38"/>
        <v>356.346</v>
      </c>
      <c r="S163" s="3">
        <f t="shared" si="39"/>
        <v>356.346</v>
      </c>
      <c r="T163" s="27">
        <f t="shared" si="40"/>
        <v>-3.6539999999999964</v>
      </c>
      <c r="U163" s="17">
        <f t="shared" si="32"/>
        <v>-0.22512162162162053</v>
      </c>
      <c r="V163" s="27">
        <f t="shared" si="33"/>
        <v>-0.39100000000000001</v>
      </c>
    </row>
    <row r="164" spans="1:22" s="5" customFormat="1">
      <c r="A164" s="5">
        <v>60</v>
      </c>
      <c r="B164" s="17">
        <f t="shared" si="45"/>
        <v>-40</v>
      </c>
      <c r="C164" s="5">
        <v>117.938</v>
      </c>
      <c r="D164" s="5">
        <v>123.876</v>
      </c>
      <c r="E164" s="5">
        <f t="shared" si="41"/>
        <v>118.18599999999998</v>
      </c>
      <c r="F164" s="25">
        <f>360-(118.161+D164+C164)</f>
        <v>2.4999999999977263E-2</v>
      </c>
      <c r="G164" s="30">
        <v>1.341</v>
      </c>
      <c r="H164" s="7">
        <v>1.2330000000000001</v>
      </c>
      <c r="I164" s="7">
        <v>-6.931</v>
      </c>
      <c r="J164" s="6" t="s">
        <v>192</v>
      </c>
      <c r="K164" s="17">
        <v>171.21199999999999</v>
      </c>
      <c r="L164" s="3">
        <f t="shared" si="29"/>
        <v>178.143</v>
      </c>
      <c r="M164" s="3">
        <f t="shared" si="42"/>
        <v>358.14300000000003</v>
      </c>
      <c r="N164" s="3">
        <f t="shared" si="43"/>
        <v>358.14300000000003</v>
      </c>
      <c r="O164" s="27">
        <f t="shared" si="44"/>
        <v>-1.8569999999999709</v>
      </c>
      <c r="P164" s="17">
        <f t="shared" si="30"/>
        <v>-2.3819999999999721</v>
      </c>
      <c r="Q164" s="3">
        <f t="shared" si="31"/>
        <v>169.97899999999998</v>
      </c>
      <c r="R164" s="3">
        <f t="shared" si="38"/>
        <v>349.97899999999998</v>
      </c>
      <c r="S164" s="3">
        <f t="shared" si="39"/>
        <v>349.97899999999998</v>
      </c>
      <c r="T164" s="27">
        <f t="shared" si="40"/>
        <v>-10.021000000000015</v>
      </c>
      <c r="U164" s="17">
        <f t="shared" si="32"/>
        <v>-6.5921216216216392</v>
      </c>
      <c r="V164" s="27">
        <f t="shared" si="33"/>
        <v>-2.8490000000000002</v>
      </c>
    </row>
    <row r="165" spans="1:22" s="5" customFormat="1">
      <c r="A165" s="5">
        <v>60</v>
      </c>
      <c r="B165" s="17">
        <f t="shared" si="45"/>
        <v>-30</v>
      </c>
      <c r="C165" s="5">
        <v>117.43300000000001</v>
      </c>
      <c r="D165" s="5">
        <v>123.837</v>
      </c>
      <c r="E165" s="5">
        <f t="shared" si="41"/>
        <v>118.72999999999999</v>
      </c>
      <c r="F165" s="25">
        <f>360-(118.729+D165+C165)</f>
        <v>9.9999999997635314E-4</v>
      </c>
      <c r="G165" s="30">
        <v>1.3420000000000001</v>
      </c>
      <c r="H165" s="7">
        <v>2.133</v>
      </c>
      <c r="I165" s="7">
        <v>-12.518000000000001</v>
      </c>
      <c r="J165" s="6" t="s">
        <v>191</v>
      </c>
      <c r="K165" s="17">
        <v>167.08600000000001</v>
      </c>
      <c r="L165" s="3">
        <f t="shared" si="29"/>
        <v>179.60400000000001</v>
      </c>
      <c r="M165" s="3">
        <f t="shared" si="42"/>
        <v>359.60400000000004</v>
      </c>
      <c r="N165" s="3">
        <f t="shared" si="43"/>
        <v>359.60400000000004</v>
      </c>
      <c r="O165" s="27">
        <f t="shared" si="44"/>
        <v>-0.39599999999995816</v>
      </c>
      <c r="P165" s="17">
        <f t="shared" si="30"/>
        <v>-0.92099999999995918</v>
      </c>
      <c r="Q165" s="3">
        <f t="shared" si="31"/>
        <v>164.953</v>
      </c>
      <c r="R165" s="3">
        <f t="shared" si="38"/>
        <v>344.95299999999997</v>
      </c>
      <c r="S165" s="3">
        <f t="shared" si="39"/>
        <v>344.95299999999997</v>
      </c>
      <c r="T165" s="27">
        <f t="shared" si="40"/>
        <v>-15.047000000000025</v>
      </c>
      <c r="U165" s="17">
        <f t="shared" si="32"/>
        <v>-11.618121621621651</v>
      </c>
      <c r="V165" s="27">
        <f t="shared" si="33"/>
        <v>-5.1925000000000008</v>
      </c>
    </row>
    <row r="166" spans="1:22" s="5" customFormat="1">
      <c r="A166" s="5">
        <v>60</v>
      </c>
      <c r="B166" s="17">
        <f t="shared" si="45"/>
        <v>-20</v>
      </c>
      <c r="C166" s="5">
        <v>116.96</v>
      </c>
      <c r="D166" s="5">
        <v>123.85299999999999</v>
      </c>
      <c r="E166" s="5">
        <f t="shared" si="41"/>
        <v>119.18700000000001</v>
      </c>
      <c r="F166" s="25">
        <f>360-(119.183+D166+C166)</f>
        <v>4.0000000000190994E-3</v>
      </c>
      <c r="G166" s="30">
        <v>1.343</v>
      </c>
      <c r="H166" s="7">
        <v>3.1150000000000002</v>
      </c>
      <c r="I166" s="7">
        <v>-15.853</v>
      </c>
      <c r="J166" s="6" t="s">
        <v>190</v>
      </c>
      <c r="K166" s="17">
        <v>164.88800000000001</v>
      </c>
      <c r="L166" s="3">
        <f t="shared" si="29"/>
        <v>180.74100000000001</v>
      </c>
      <c r="M166" s="3">
        <f t="shared" si="42"/>
        <v>360.74099999999999</v>
      </c>
      <c r="N166" s="3">
        <f t="shared" si="43"/>
        <v>0.74099999999998545</v>
      </c>
      <c r="O166" s="27">
        <f t="shared" si="44"/>
        <v>0.74099999999998545</v>
      </c>
      <c r="P166" s="17">
        <f t="shared" si="30"/>
        <v>0.21599999999998443</v>
      </c>
      <c r="Q166" s="3">
        <f t="shared" si="31"/>
        <v>161.773</v>
      </c>
      <c r="R166" s="3">
        <f t="shared" si="38"/>
        <v>341.77300000000002</v>
      </c>
      <c r="S166" s="3">
        <f t="shared" si="39"/>
        <v>341.77300000000002</v>
      </c>
      <c r="T166" s="27">
        <f t="shared" si="40"/>
        <v>-18.226999999999975</v>
      </c>
      <c r="U166" s="17">
        <f t="shared" si="32"/>
        <v>-14.7981216216216</v>
      </c>
      <c r="V166" s="27">
        <f t="shared" si="33"/>
        <v>-6.3689999999999998</v>
      </c>
    </row>
    <row r="167" spans="1:22" s="5" customFormat="1">
      <c r="A167" s="5">
        <v>60</v>
      </c>
      <c r="B167" s="17">
        <f t="shared" si="45"/>
        <v>-10</v>
      </c>
      <c r="C167" s="5">
        <v>116.73699999999999</v>
      </c>
      <c r="D167" s="5">
        <v>123.75700000000001</v>
      </c>
      <c r="E167" s="5">
        <f t="shared" si="41"/>
        <v>119.506</v>
      </c>
      <c r="F167" s="25">
        <f>360-(119.492+D167+C167)</f>
        <v>1.4000000000010004E-2</v>
      </c>
      <c r="G167" s="30">
        <v>1.343</v>
      </c>
      <c r="H167" s="7">
        <v>3.4550000000000001</v>
      </c>
      <c r="I167" s="7">
        <v>-14.97</v>
      </c>
      <c r="J167" s="6" t="s">
        <v>189</v>
      </c>
      <c r="K167" s="17">
        <v>166.477</v>
      </c>
      <c r="L167" s="3">
        <f t="shared" si="29"/>
        <v>181.447</v>
      </c>
      <c r="M167" s="3">
        <f t="shared" si="42"/>
        <v>361.447</v>
      </c>
      <c r="N167" s="3">
        <f t="shared" si="43"/>
        <v>1.4470000000000027</v>
      </c>
      <c r="O167" s="27">
        <f t="shared" si="44"/>
        <v>1.4470000000000027</v>
      </c>
      <c r="P167" s="17">
        <f t="shared" si="30"/>
        <v>0.92200000000000171</v>
      </c>
      <c r="Q167" s="3">
        <f t="shared" si="31"/>
        <v>163.02199999999999</v>
      </c>
      <c r="R167" s="3">
        <f t="shared" si="38"/>
        <v>343.02199999999999</v>
      </c>
      <c r="S167" s="3">
        <f t="shared" si="39"/>
        <v>343.02199999999999</v>
      </c>
      <c r="T167" s="27">
        <f t="shared" si="40"/>
        <v>-16.978000000000009</v>
      </c>
      <c r="U167" s="17">
        <f t="shared" si="32"/>
        <v>-13.549121621621634</v>
      </c>
      <c r="V167" s="27">
        <f t="shared" si="33"/>
        <v>-5.7575000000000003</v>
      </c>
    </row>
    <row r="168" spans="1:22" s="5" customFormat="1">
      <c r="A168" s="5">
        <v>60</v>
      </c>
      <c r="B168" s="17">
        <v>10</v>
      </c>
      <c r="C168" s="5">
        <v>117.639</v>
      </c>
      <c r="D168" s="5">
        <v>124.014</v>
      </c>
      <c r="E168" s="5">
        <f t="shared" si="41"/>
        <v>118.34700000000001</v>
      </c>
      <c r="F168" s="25">
        <f>360-(118.341+D168+C168)</f>
        <v>6.0000000000286491E-3</v>
      </c>
      <c r="G168" s="30">
        <v>1.341</v>
      </c>
      <c r="H168" s="7">
        <v>0.37</v>
      </c>
      <c r="I168" s="7">
        <v>-0.48299999999999998</v>
      </c>
      <c r="J168" s="7">
        <v>179.501</v>
      </c>
      <c r="K168" s="17">
        <v>179.61500000000001</v>
      </c>
      <c r="L168" s="3">
        <f t="shared" si="29"/>
        <v>-179.131</v>
      </c>
      <c r="M168" s="3">
        <f t="shared" si="42"/>
        <v>0.86899999999999977</v>
      </c>
      <c r="N168" s="3">
        <f t="shared" si="43"/>
        <v>0.86899999999999977</v>
      </c>
      <c r="O168" s="27">
        <f t="shared" si="44"/>
        <v>0.86899999999999977</v>
      </c>
      <c r="P168" s="17">
        <f t="shared" si="30"/>
        <v>0.34399999999999875</v>
      </c>
      <c r="Q168" s="3">
        <f t="shared" si="31"/>
        <v>-179.98400000000001</v>
      </c>
      <c r="R168" s="3">
        <f t="shared" si="38"/>
        <v>1.5999999999991132E-2</v>
      </c>
      <c r="S168" s="3">
        <f t="shared" si="39"/>
        <v>1.5999999999991132E-2</v>
      </c>
      <c r="T168" s="27">
        <f t="shared" si="40"/>
        <v>1.5999999999991132E-2</v>
      </c>
      <c r="U168" s="17">
        <f t="shared" si="32"/>
        <v>3.444878378378367</v>
      </c>
      <c r="V168" s="27">
        <f t="shared" si="33"/>
        <v>-5.6499999999999995E-2</v>
      </c>
    </row>
    <row r="169" spans="1:22" s="5" customFormat="1">
      <c r="A169" s="5">
        <v>60</v>
      </c>
      <c r="B169" s="17">
        <f t="shared" si="45"/>
        <v>20</v>
      </c>
      <c r="C169" s="5">
        <v>118.351</v>
      </c>
      <c r="D169" s="5">
        <v>124.102</v>
      </c>
      <c r="E169" s="5">
        <f t="shared" si="41"/>
        <v>117.547</v>
      </c>
      <c r="F169" s="25">
        <f>360-(117.512+D169+C169)</f>
        <v>3.4999999999968168E-2</v>
      </c>
      <c r="G169" s="30">
        <v>1.3420000000000001</v>
      </c>
      <c r="H169" s="7">
        <v>1.625</v>
      </c>
      <c r="I169" s="7">
        <v>-1.9119999999999999</v>
      </c>
      <c r="J169" s="7">
        <v>179.45500000000001</v>
      </c>
      <c r="K169" s="17">
        <v>179.74299999999999</v>
      </c>
      <c r="L169" s="3">
        <f t="shared" si="29"/>
        <v>-177.83</v>
      </c>
      <c r="M169" s="3">
        <f t="shared" si="42"/>
        <v>2.1699999999999875</v>
      </c>
      <c r="N169" s="3">
        <f t="shared" si="43"/>
        <v>2.1699999999999875</v>
      </c>
      <c r="O169" s="27">
        <f t="shared" si="44"/>
        <v>2.1699999999999875</v>
      </c>
      <c r="P169" s="17">
        <f t="shared" si="30"/>
        <v>1.6449999999999865</v>
      </c>
      <c r="Q169" s="3">
        <f t="shared" si="31"/>
        <v>-181.36700000000002</v>
      </c>
      <c r="R169" s="3">
        <f t="shared" si="38"/>
        <v>-1.3670000000000186</v>
      </c>
      <c r="S169" s="3">
        <f t="shared" si="39"/>
        <v>358.63299999999998</v>
      </c>
      <c r="T169" s="27">
        <f t="shared" si="40"/>
        <v>-1.3670000000000186</v>
      </c>
      <c r="U169" s="17">
        <f t="shared" si="32"/>
        <v>2.0618783783783572</v>
      </c>
      <c r="V169" s="27">
        <f t="shared" si="33"/>
        <v>-0.14349999999999996</v>
      </c>
    </row>
    <row r="170" spans="1:22" s="5" customFormat="1">
      <c r="A170" s="5">
        <v>60</v>
      </c>
      <c r="B170" s="17">
        <f t="shared" si="45"/>
        <v>30</v>
      </c>
      <c r="C170" s="5">
        <v>119.04600000000001</v>
      </c>
      <c r="D170" s="5">
        <v>124.154</v>
      </c>
      <c r="E170" s="5">
        <f t="shared" si="41"/>
        <v>116.80000000000001</v>
      </c>
      <c r="F170" s="25">
        <f>360-(116.708+D170+C170)</f>
        <v>9.1999999999984539E-2</v>
      </c>
      <c r="G170" s="30">
        <v>1.3440000000000001</v>
      </c>
      <c r="H170" s="7">
        <v>2.54</v>
      </c>
      <c r="I170" s="7">
        <v>-4.2709999999999999</v>
      </c>
      <c r="J170" s="7">
        <v>179.006</v>
      </c>
      <c r="K170" s="17">
        <v>179.26300000000001</v>
      </c>
      <c r="L170" s="3">
        <f t="shared" si="29"/>
        <v>-176.46600000000001</v>
      </c>
      <c r="M170" s="3">
        <f t="shared" si="42"/>
        <v>3.5339999999999918</v>
      </c>
      <c r="N170" s="3">
        <f t="shared" si="43"/>
        <v>3.5339999999999918</v>
      </c>
      <c r="O170" s="27">
        <f t="shared" si="44"/>
        <v>3.5339999999999918</v>
      </c>
      <c r="P170" s="17">
        <f t="shared" si="30"/>
        <v>3.0089999999999906</v>
      </c>
      <c r="Q170" s="3">
        <f t="shared" si="31"/>
        <v>-183.27699999999999</v>
      </c>
      <c r="R170" s="3">
        <f t="shared" si="38"/>
        <v>-3.2769999999999868</v>
      </c>
      <c r="S170" s="3">
        <f t="shared" si="39"/>
        <v>356.72300000000001</v>
      </c>
      <c r="T170" s="27">
        <f t="shared" si="40"/>
        <v>-3.2769999999999868</v>
      </c>
      <c r="U170" s="17">
        <f t="shared" si="32"/>
        <v>0.15187837837838902</v>
      </c>
      <c r="V170" s="27">
        <f t="shared" si="33"/>
        <v>-0.86549999999999994</v>
      </c>
    </row>
    <row r="171" spans="1:22" s="5" customFormat="1">
      <c r="A171" s="5">
        <v>60</v>
      </c>
      <c r="B171" s="17">
        <f t="shared" si="45"/>
        <v>40</v>
      </c>
      <c r="C171" s="5">
        <v>119.774</v>
      </c>
      <c r="D171" s="5">
        <v>124.011</v>
      </c>
      <c r="E171" s="5">
        <f t="shared" si="41"/>
        <v>116.215</v>
      </c>
      <c r="F171" s="25">
        <f>360-(116.033+D171+C171)</f>
        <v>0.18200000000001637</v>
      </c>
      <c r="G171" s="30">
        <v>1.345</v>
      </c>
      <c r="H171" s="7">
        <v>4.4779999999999998</v>
      </c>
      <c r="I171" s="7">
        <v>-7.8780000000000001</v>
      </c>
      <c r="J171" s="7">
        <v>179.541</v>
      </c>
      <c r="K171" s="17">
        <v>177.059</v>
      </c>
      <c r="L171" s="3">
        <f t="shared" si="29"/>
        <v>-175.06299999999999</v>
      </c>
      <c r="M171" s="3">
        <f t="shared" si="42"/>
        <v>4.9370000000000118</v>
      </c>
      <c r="N171" s="3">
        <f t="shared" si="43"/>
        <v>4.9370000000000118</v>
      </c>
      <c r="O171" s="27">
        <f t="shared" si="44"/>
        <v>4.9370000000000118</v>
      </c>
      <c r="P171" s="17">
        <f t="shared" si="30"/>
        <v>4.4120000000000106</v>
      </c>
      <c r="Q171" s="3">
        <f t="shared" si="31"/>
        <v>-187.41899999999998</v>
      </c>
      <c r="R171" s="3">
        <f t="shared" si="38"/>
        <v>-7.4189999999999827</v>
      </c>
      <c r="S171" s="3">
        <f t="shared" si="39"/>
        <v>352.58100000000002</v>
      </c>
      <c r="T171" s="27">
        <f t="shared" si="40"/>
        <v>-7.4189999999999827</v>
      </c>
      <c r="U171" s="17">
        <f t="shared" si="32"/>
        <v>-3.9901216216216069</v>
      </c>
      <c r="V171" s="27">
        <f t="shared" si="33"/>
        <v>-1.7000000000000002</v>
      </c>
    </row>
    <row r="172" spans="1:22" s="5" customFormat="1">
      <c r="A172" s="5">
        <v>60</v>
      </c>
      <c r="B172" s="17">
        <f t="shared" si="45"/>
        <v>50</v>
      </c>
      <c r="C172" s="5">
        <v>120.32</v>
      </c>
      <c r="D172" s="5">
        <v>123.92700000000001</v>
      </c>
      <c r="E172" s="5">
        <f t="shared" si="41"/>
        <v>115.75299999999999</v>
      </c>
      <c r="F172" s="25">
        <f>360-(115.522+D172+C172)</f>
        <v>0.23099999999999454</v>
      </c>
      <c r="G172" s="30">
        <v>1.347</v>
      </c>
      <c r="H172" s="7">
        <v>5.98</v>
      </c>
      <c r="I172" s="7">
        <v>-8.8940000000000001</v>
      </c>
      <c r="J172" s="6" t="s">
        <v>188</v>
      </c>
      <c r="K172" s="17">
        <v>176.636</v>
      </c>
      <c r="L172" s="3">
        <f t="shared" si="29"/>
        <v>185.53099999999998</v>
      </c>
      <c r="M172" s="3">
        <f t="shared" si="42"/>
        <v>365.53099999999995</v>
      </c>
      <c r="N172" s="3">
        <f t="shared" si="43"/>
        <v>5.5309999999999491</v>
      </c>
      <c r="O172" s="27">
        <f t="shared" si="44"/>
        <v>5.5309999999999491</v>
      </c>
      <c r="P172" s="17">
        <f t="shared" si="30"/>
        <v>5.0059999999999478</v>
      </c>
      <c r="Q172" s="3">
        <f t="shared" si="31"/>
        <v>170.65699999999998</v>
      </c>
      <c r="R172" s="3">
        <f t="shared" si="38"/>
        <v>350.65699999999998</v>
      </c>
      <c r="S172" s="3">
        <f t="shared" si="39"/>
        <v>350.65699999999998</v>
      </c>
      <c r="T172" s="27">
        <f t="shared" si="40"/>
        <v>-9.3430000000000177</v>
      </c>
      <c r="U172" s="17">
        <f t="shared" si="32"/>
        <v>-5.9141216216216419</v>
      </c>
      <c r="V172" s="27">
        <f t="shared" si="33"/>
        <v>-1.4569999999999999</v>
      </c>
    </row>
    <row r="173" spans="1:22" s="5" customFormat="1">
      <c r="A173" s="5">
        <v>60</v>
      </c>
      <c r="B173" s="17">
        <f t="shared" si="45"/>
        <v>60</v>
      </c>
      <c r="C173" s="5">
        <v>120.767</v>
      </c>
      <c r="D173" s="5">
        <v>123.71299999999999</v>
      </c>
      <c r="E173" s="5">
        <f t="shared" si="41"/>
        <v>115.52000000000001</v>
      </c>
      <c r="F173" s="25">
        <f>360-(115.271+D173+C173)</f>
        <v>0.24900000000002365</v>
      </c>
      <c r="G173" s="30">
        <v>1.3480000000000001</v>
      </c>
      <c r="H173" s="7">
        <v>6.7329999999999997</v>
      </c>
      <c r="I173" s="7">
        <v>-8.532</v>
      </c>
      <c r="J173" s="6" t="s">
        <v>187</v>
      </c>
      <c r="K173" s="17">
        <v>177.18100000000001</v>
      </c>
      <c r="L173" s="3">
        <f t="shared" si="29"/>
        <v>185.714</v>
      </c>
      <c r="M173" s="3">
        <f t="shared" si="42"/>
        <v>365.714</v>
      </c>
      <c r="N173" s="3">
        <f t="shared" si="43"/>
        <v>5.7139999999999986</v>
      </c>
      <c r="O173" s="27">
        <f t="shared" si="44"/>
        <v>5.7139999999999986</v>
      </c>
      <c r="P173" s="17">
        <f t="shared" si="30"/>
        <v>5.1889999999999974</v>
      </c>
      <c r="Q173" s="3">
        <f t="shared" si="31"/>
        <v>170.44899999999998</v>
      </c>
      <c r="R173" s="3">
        <f t="shared" si="38"/>
        <v>350.44899999999996</v>
      </c>
      <c r="S173" s="3">
        <f t="shared" si="39"/>
        <v>350.44899999999996</v>
      </c>
      <c r="T173" s="27">
        <f t="shared" si="40"/>
        <v>-9.5510000000000446</v>
      </c>
      <c r="U173" s="17">
        <f t="shared" si="32"/>
        <v>-6.1221216216216687</v>
      </c>
      <c r="V173" s="27">
        <f t="shared" si="33"/>
        <v>-0.89950000000000019</v>
      </c>
    </row>
    <row r="174" spans="1:22" s="5" customFormat="1">
      <c r="A174" s="5">
        <v>60</v>
      </c>
      <c r="B174" s="17">
        <f t="shared" si="45"/>
        <v>70</v>
      </c>
      <c r="C174" s="5">
        <v>121.285</v>
      </c>
      <c r="D174" s="5">
        <v>123.59399999999999</v>
      </c>
      <c r="E174" s="5">
        <f t="shared" si="41"/>
        <v>115.12100000000001</v>
      </c>
      <c r="F174" s="25">
        <f>360-(114.929+D174+C174)</f>
        <v>0.19200000000000728</v>
      </c>
      <c r="G174" s="30">
        <v>1.35</v>
      </c>
      <c r="H174" s="7">
        <v>7.76</v>
      </c>
      <c r="I174" s="7">
        <v>-7.2480000000000002</v>
      </c>
      <c r="J174" s="6" t="s">
        <v>186</v>
      </c>
      <c r="K174" s="17">
        <v>177.745</v>
      </c>
      <c r="L174" s="3">
        <f t="shared" si="29"/>
        <v>184.99299999999999</v>
      </c>
      <c r="M174" s="3">
        <f t="shared" si="42"/>
        <v>364.99299999999999</v>
      </c>
      <c r="N174" s="3">
        <f t="shared" si="43"/>
        <v>4.992999999999995</v>
      </c>
      <c r="O174" s="27">
        <f t="shared" si="44"/>
        <v>4.992999999999995</v>
      </c>
      <c r="P174" s="17">
        <f t="shared" si="30"/>
        <v>4.4679999999999938</v>
      </c>
      <c r="Q174" s="3">
        <f t="shared" si="31"/>
        <v>169.98500000000001</v>
      </c>
      <c r="R174" s="3">
        <f t="shared" si="38"/>
        <v>349.98500000000001</v>
      </c>
      <c r="S174" s="3">
        <f t="shared" si="39"/>
        <v>349.98500000000001</v>
      </c>
      <c r="T174" s="27">
        <f t="shared" si="40"/>
        <v>-10.014999999999986</v>
      </c>
      <c r="U174" s="17">
        <f t="shared" si="32"/>
        <v>-6.5861216216216105</v>
      </c>
      <c r="V174" s="27">
        <f t="shared" si="33"/>
        <v>0.25599999999999978</v>
      </c>
    </row>
    <row r="175" spans="1:22" s="5" customFormat="1">
      <c r="A175" s="5">
        <v>60</v>
      </c>
      <c r="B175" s="17">
        <f t="shared" si="45"/>
        <v>80</v>
      </c>
      <c r="C175" s="5">
        <v>121.626</v>
      </c>
      <c r="D175" s="5">
        <v>123.29300000000001</v>
      </c>
      <c r="E175" s="5">
        <f t="shared" si="41"/>
        <v>115.08099999999999</v>
      </c>
      <c r="F175" s="25">
        <f>360-(114.932+D175+C175)</f>
        <v>0.14900000000000091</v>
      </c>
      <c r="G175" s="30">
        <v>1.35</v>
      </c>
      <c r="H175" s="7">
        <v>6.3049999999999997</v>
      </c>
      <c r="I175" s="7">
        <v>-6.0439999999999996</v>
      </c>
      <c r="J175" s="6" t="s">
        <v>185</v>
      </c>
      <c r="K175" s="17">
        <v>178.33699999999999</v>
      </c>
      <c r="L175" s="3">
        <f t="shared" si="29"/>
        <v>184.381</v>
      </c>
      <c r="M175" s="3">
        <f t="shared" si="42"/>
        <v>364.38099999999997</v>
      </c>
      <c r="N175" s="3">
        <f t="shared" si="43"/>
        <v>4.3809999999999718</v>
      </c>
      <c r="O175" s="27">
        <f t="shared" si="44"/>
        <v>4.3809999999999718</v>
      </c>
      <c r="P175" s="17">
        <f t="shared" si="30"/>
        <v>3.8559999999999706</v>
      </c>
      <c r="Q175" s="3">
        <f t="shared" si="31"/>
        <v>172.03199999999998</v>
      </c>
      <c r="R175" s="3">
        <f t="shared" si="38"/>
        <v>352.03199999999998</v>
      </c>
      <c r="S175" s="3">
        <f t="shared" si="39"/>
        <v>352.03199999999998</v>
      </c>
      <c r="T175" s="27">
        <f t="shared" si="40"/>
        <v>-7.9680000000000177</v>
      </c>
      <c r="U175" s="17">
        <f t="shared" si="32"/>
        <v>-4.5391216216216419</v>
      </c>
      <c r="V175" s="27">
        <f t="shared" si="33"/>
        <v>0.13050000000000006</v>
      </c>
    </row>
    <row r="176" spans="1:22" s="5" customFormat="1">
      <c r="A176" s="5">
        <v>60</v>
      </c>
      <c r="B176" s="17">
        <f t="shared" si="45"/>
        <v>90</v>
      </c>
      <c r="C176" s="5">
        <v>121.991</v>
      </c>
      <c r="D176" s="5">
        <v>123.321</v>
      </c>
      <c r="E176" s="5">
        <f t="shared" si="41"/>
        <v>114.68799999999999</v>
      </c>
      <c r="F176" s="25">
        <f>360-(114.604+D176+C176)</f>
        <v>8.4000000000003183E-2</v>
      </c>
      <c r="G176" s="30">
        <v>1.351</v>
      </c>
      <c r="H176" s="7">
        <v>5.1100000000000003</v>
      </c>
      <c r="I176" s="7">
        <v>-4.8360000000000003</v>
      </c>
      <c r="J176" s="6" t="s">
        <v>184</v>
      </c>
      <c r="K176" s="17">
        <v>178.45699999999999</v>
      </c>
      <c r="L176" s="3">
        <f t="shared" si="29"/>
        <v>183.29400000000001</v>
      </c>
      <c r="M176" s="3">
        <f t="shared" si="42"/>
        <v>363.29399999999998</v>
      </c>
      <c r="N176" s="3">
        <f t="shared" si="43"/>
        <v>3.2939999999999827</v>
      </c>
      <c r="O176" s="27">
        <f t="shared" si="44"/>
        <v>3.2939999999999827</v>
      </c>
      <c r="P176" s="17">
        <f t="shared" si="30"/>
        <v>2.7689999999999815</v>
      </c>
      <c r="Q176" s="3">
        <f t="shared" si="31"/>
        <v>173.34799999999998</v>
      </c>
      <c r="R176" s="3">
        <f t="shared" si="38"/>
        <v>353.34799999999996</v>
      </c>
      <c r="S176" s="3">
        <f t="shared" si="39"/>
        <v>353.34799999999996</v>
      </c>
      <c r="T176" s="27">
        <f t="shared" si="40"/>
        <v>-6.6520000000000437</v>
      </c>
      <c r="U176" s="17">
        <f t="shared" si="32"/>
        <v>-3.2231216216216678</v>
      </c>
      <c r="V176" s="27">
        <f t="shared" si="33"/>
        <v>0.13700000000000001</v>
      </c>
    </row>
    <row r="177" spans="1:22" s="5" customFormat="1">
      <c r="A177" s="5">
        <v>60</v>
      </c>
      <c r="B177" s="17">
        <f t="shared" si="45"/>
        <v>100</v>
      </c>
      <c r="C177" s="5">
        <v>122.089</v>
      </c>
      <c r="D177" s="5">
        <v>123.38500000000001</v>
      </c>
      <c r="E177" s="5">
        <f t="shared" si="41"/>
        <v>114.52600000000001</v>
      </c>
      <c r="F177" s="25">
        <f>360-(114.477+D177+C177)</f>
        <v>4.8999999999978172E-2</v>
      </c>
      <c r="G177" s="30">
        <v>1.351</v>
      </c>
      <c r="H177" s="7">
        <v>4.24</v>
      </c>
      <c r="I177" s="7">
        <v>-4.3739999999999997</v>
      </c>
      <c r="J177" s="6" t="s">
        <v>183</v>
      </c>
      <c r="K177" s="17">
        <v>178.13800000000001</v>
      </c>
      <c r="L177" s="3">
        <f t="shared" si="29"/>
        <v>182.512</v>
      </c>
      <c r="M177" s="3">
        <f t="shared" si="42"/>
        <v>362.512</v>
      </c>
      <c r="N177" s="3">
        <f t="shared" si="43"/>
        <v>2.5120000000000005</v>
      </c>
      <c r="O177" s="27">
        <f t="shared" si="44"/>
        <v>2.5120000000000005</v>
      </c>
      <c r="P177" s="17">
        <f t="shared" si="30"/>
        <v>1.9869999999999994</v>
      </c>
      <c r="Q177" s="3">
        <f t="shared" si="31"/>
        <v>173.898</v>
      </c>
      <c r="R177" s="3">
        <f t="shared" si="38"/>
        <v>353.89800000000002</v>
      </c>
      <c r="S177" s="3">
        <f t="shared" si="39"/>
        <v>353.89800000000002</v>
      </c>
      <c r="T177" s="27">
        <f t="shared" si="40"/>
        <v>-6.1019999999999754</v>
      </c>
      <c r="U177" s="17">
        <f t="shared" si="32"/>
        <v>-2.6731216216215996</v>
      </c>
      <c r="V177" s="27">
        <f t="shared" si="33"/>
        <v>-6.6999999999999726E-2</v>
      </c>
    </row>
    <row r="178" spans="1:22" s="5" customFormat="1">
      <c r="A178" s="5">
        <v>60</v>
      </c>
      <c r="B178" s="17">
        <f t="shared" si="45"/>
        <v>110</v>
      </c>
      <c r="C178" s="5">
        <v>122.295</v>
      </c>
      <c r="D178" s="5">
        <v>123.4</v>
      </c>
      <c r="E178" s="5">
        <f t="shared" si="41"/>
        <v>114.30500000000001</v>
      </c>
      <c r="F178" s="25">
        <f>360-(114.283+D178+C178)</f>
        <v>2.199999999999136E-2</v>
      </c>
      <c r="G178" s="30">
        <v>1.351</v>
      </c>
      <c r="H178" s="7">
        <v>1.8979999999999999</v>
      </c>
      <c r="I178" s="7">
        <v>-3.9239999999999999</v>
      </c>
      <c r="J178" s="6" t="s">
        <v>182</v>
      </c>
      <c r="K178" s="17">
        <v>177.75800000000001</v>
      </c>
      <c r="L178" s="3">
        <f t="shared" si="29"/>
        <v>181.68199999999999</v>
      </c>
      <c r="M178" s="3">
        <f t="shared" si="42"/>
        <v>361.68200000000002</v>
      </c>
      <c r="N178" s="3">
        <f t="shared" si="43"/>
        <v>1.6820000000000164</v>
      </c>
      <c r="O178" s="27">
        <f t="shared" si="44"/>
        <v>1.6820000000000164</v>
      </c>
      <c r="P178" s="17">
        <f t="shared" si="30"/>
        <v>1.1570000000000153</v>
      </c>
      <c r="Q178" s="3">
        <f t="shared" si="31"/>
        <v>175.85999999999999</v>
      </c>
      <c r="R178" s="3">
        <f t="shared" si="38"/>
        <v>355.86</v>
      </c>
      <c r="S178" s="3">
        <f t="shared" si="39"/>
        <v>355.86</v>
      </c>
      <c r="T178" s="27">
        <f t="shared" si="40"/>
        <v>-4.1399999999999864</v>
      </c>
      <c r="U178" s="17">
        <f t="shared" si="32"/>
        <v>-0.71112162162161052</v>
      </c>
      <c r="V178" s="27">
        <f t="shared" si="33"/>
        <v>-1.0129999999999999</v>
      </c>
    </row>
    <row r="179" spans="1:22" s="5" customFormat="1">
      <c r="A179" s="5">
        <v>60</v>
      </c>
      <c r="B179" s="17">
        <f t="shared" si="45"/>
        <v>120</v>
      </c>
      <c r="C179" s="5">
        <v>122.363</v>
      </c>
      <c r="D179" s="5">
        <v>123.291</v>
      </c>
      <c r="E179" s="5">
        <f t="shared" si="41"/>
        <v>114.346</v>
      </c>
      <c r="F179" s="25">
        <f>360-(114.337+D179+C179)</f>
        <v>9.0000000000145519E-3</v>
      </c>
      <c r="G179" s="30">
        <v>1.35</v>
      </c>
      <c r="H179" s="6" t="s">
        <v>181</v>
      </c>
      <c r="I179" s="6">
        <v>-3.9180000000000001</v>
      </c>
      <c r="J179" s="7">
        <v>178.75299999999999</v>
      </c>
      <c r="K179" s="17">
        <v>177.19800000000001</v>
      </c>
      <c r="L179" s="3">
        <f t="shared" si="29"/>
        <v>-178.88399999999999</v>
      </c>
      <c r="M179" s="3">
        <f t="shared" si="42"/>
        <v>1.1160000000000139</v>
      </c>
      <c r="N179" s="3">
        <f t="shared" si="43"/>
        <v>1.1160000000000139</v>
      </c>
      <c r="O179" s="27">
        <f t="shared" si="44"/>
        <v>1.1160000000000139</v>
      </c>
      <c r="P179" s="17">
        <f t="shared" si="30"/>
        <v>0.59100000000001285</v>
      </c>
      <c r="Q179" s="3">
        <f t="shared" si="31"/>
        <v>-182.67099999999999</v>
      </c>
      <c r="R179" s="3">
        <f t="shared" si="38"/>
        <v>-2.6709999999999923</v>
      </c>
      <c r="S179" s="3">
        <f t="shared" si="39"/>
        <v>357.32900000000001</v>
      </c>
      <c r="T179" s="27">
        <f t="shared" si="40"/>
        <v>-2.6709999999999923</v>
      </c>
      <c r="U179" s="17">
        <f t="shared" si="32"/>
        <v>0.75787837837838357</v>
      </c>
      <c r="V179" s="27">
        <f t="shared" si="33"/>
        <v>-2.0245000000000002</v>
      </c>
    </row>
    <row r="180" spans="1:22" s="5" customFormat="1">
      <c r="A180" s="5">
        <v>60</v>
      </c>
      <c r="B180" s="17">
        <f t="shared" si="45"/>
        <v>130</v>
      </c>
      <c r="C180" s="5">
        <v>122.474</v>
      </c>
      <c r="D180" s="5">
        <v>123.33499999999999</v>
      </c>
      <c r="E180" s="5">
        <f t="shared" si="41"/>
        <v>114.191</v>
      </c>
      <c r="F180" s="25">
        <f>360-(114.19+D180+C180)</f>
        <v>1.0000000000331966E-3</v>
      </c>
      <c r="G180" s="30">
        <v>1.35</v>
      </c>
      <c r="H180" s="6" t="s">
        <v>180</v>
      </c>
      <c r="I180" s="6">
        <v>-3.6309999999999998</v>
      </c>
      <c r="J180" s="7">
        <v>178.05</v>
      </c>
      <c r="K180" s="17">
        <v>176.72399999999999</v>
      </c>
      <c r="L180" s="3">
        <f t="shared" si="29"/>
        <v>-179.64500000000001</v>
      </c>
      <c r="M180" s="3">
        <f t="shared" si="42"/>
        <v>0.35499999999998977</v>
      </c>
      <c r="N180" s="3">
        <f t="shared" si="43"/>
        <v>0.35499999999998977</v>
      </c>
      <c r="O180" s="27">
        <f t="shared" si="44"/>
        <v>0.35499999999998977</v>
      </c>
      <c r="P180" s="17">
        <f t="shared" si="30"/>
        <v>-0.17000000000001125</v>
      </c>
      <c r="Q180" s="3">
        <f t="shared" si="31"/>
        <v>-181.68100000000001</v>
      </c>
      <c r="R180" s="3">
        <f t="shared" si="38"/>
        <v>-1.6810000000000116</v>
      </c>
      <c r="S180" s="3">
        <f t="shared" si="39"/>
        <v>358.31899999999996</v>
      </c>
      <c r="T180" s="27">
        <f t="shared" si="40"/>
        <v>-1.68100000000004</v>
      </c>
      <c r="U180" s="17">
        <f t="shared" si="32"/>
        <v>1.7478783783783358</v>
      </c>
      <c r="V180" s="27">
        <f t="shared" si="33"/>
        <v>-2.613</v>
      </c>
    </row>
    <row r="181" spans="1:22" s="5" customFormat="1">
      <c r="A181" s="5">
        <v>60</v>
      </c>
      <c r="B181" s="17">
        <f t="shared" si="45"/>
        <v>140</v>
      </c>
      <c r="C181" s="5">
        <v>122.39100000000001</v>
      </c>
      <c r="D181" s="5">
        <v>123.47199999999999</v>
      </c>
      <c r="E181" s="5">
        <f t="shared" si="41"/>
        <v>114.137</v>
      </c>
      <c r="F181" s="25">
        <f>360-(114.135+D181+C181)</f>
        <v>2.0000000000095497E-3</v>
      </c>
      <c r="G181" s="30">
        <v>1.35</v>
      </c>
      <c r="H181" s="6" t="s">
        <v>179</v>
      </c>
      <c r="I181" s="6">
        <v>-3.0419999999999998</v>
      </c>
      <c r="J181" s="7">
        <v>177.27</v>
      </c>
      <c r="K181" s="17">
        <v>176.59299999999999</v>
      </c>
      <c r="L181" s="3">
        <f t="shared" si="29"/>
        <v>-180.36500000000001</v>
      </c>
      <c r="M181" s="3">
        <f t="shared" si="42"/>
        <v>-0.36500000000000909</v>
      </c>
      <c r="N181" s="3">
        <f t="shared" si="43"/>
        <v>359.63499999999999</v>
      </c>
      <c r="O181" s="27">
        <f t="shared" si="44"/>
        <v>-0.36500000000000909</v>
      </c>
      <c r="P181" s="17">
        <f t="shared" si="30"/>
        <v>-0.89000000000001012</v>
      </c>
      <c r="Q181" s="3">
        <f t="shared" si="31"/>
        <v>-180.31200000000001</v>
      </c>
      <c r="R181" s="3">
        <f t="shared" si="38"/>
        <v>-0.31200000000001182</v>
      </c>
      <c r="S181" s="3">
        <f t="shared" si="39"/>
        <v>359.68799999999999</v>
      </c>
      <c r="T181" s="27">
        <f t="shared" si="40"/>
        <v>-0.31200000000001182</v>
      </c>
      <c r="U181" s="17">
        <f t="shared" si="32"/>
        <v>3.116878378378364</v>
      </c>
      <c r="V181" s="27">
        <f t="shared" si="33"/>
        <v>-3.0685000000000002</v>
      </c>
    </row>
    <row r="182" spans="1:22" s="5" customFormat="1">
      <c r="A182" s="5">
        <v>60</v>
      </c>
      <c r="B182" s="17">
        <f t="shared" si="45"/>
        <v>150</v>
      </c>
      <c r="C182" s="5">
        <v>122.48</v>
      </c>
      <c r="D182" s="5">
        <v>123.60599999999999</v>
      </c>
      <c r="E182" s="5">
        <f t="shared" si="41"/>
        <v>113.91399999999999</v>
      </c>
      <c r="F182" s="25">
        <f>360-(113.909+D182+C182)</f>
        <v>4.9999999999954525E-3</v>
      </c>
      <c r="G182" s="30">
        <v>1.349</v>
      </c>
      <c r="H182" s="6" t="s">
        <v>178</v>
      </c>
      <c r="I182" s="6">
        <v>-2.2309999999999999</v>
      </c>
      <c r="J182" s="7">
        <v>176.96199999999999</v>
      </c>
      <c r="K182" s="17">
        <v>176.941</v>
      </c>
      <c r="L182" s="3">
        <f t="shared" si="29"/>
        <v>-180.82899999999998</v>
      </c>
      <c r="M182" s="3">
        <f t="shared" si="42"/>
        <v>-0.82899999999997931</v>
      </c>
      <c r="N182" s="3">
        <f t="shared" si="43"/>
        <v>359.17100000000005</v>
      </c>
      <c r="O182" s="27">
        <f t="shared" si="44"/>
        <v>-0.82899999999995089</v>
      </c>
      <c r="P182" s="17">
        <f t="shared" si="30"/>
        <v>-1.3539999999999519</v>
      </c>
      <c r="Q182" s="3">
        <f t="shared" si="31"/>
        <v>-179.19299999999998</v>
      </c>
      <c r="R182" s="3">
        <f t="shared" si="38"/>
        <v>0.80700000000001637</v>
      </c>
      <c r="S182" s="3">
        <f t="shared" si="39"/>
        <v>0.80700000000001637</v>
      </c>
      <c r="T182" s="27">
        <f t="shared" si="40"/>
        <v>0.80700000000001637</v>
      </c>
      <c r="U182" s="17">
        <f t="shared" si="32"/>
        <v>4.2358783783783922</v>
      </c>
      <c r="V182" s="27">
        <f t="shared" si="33"/>
        <v>-3.0489999999999999</v>
      </c>
    </row>
    <row r="183" spans="1:22" s="5" customFormat="1">
      <c r="A183" s="5">
        <v>60</v>
      </c>
      <c r="B183" s="17">
        <f t="shared" si="45"/>
        <v>160</v>
      </c>
      <c r="C183" s="5">
        <v>122.468</v>
      </c>
      <c r="D183" s="5">
        <v>123.755</v>
      </c>
      <c r="E183" s="5">
        <f t="shared" si="41"/>
        <v>113.77699999999999</v>
      </c>
      <c r="F183" s="25">
        <f>360-(113.761+D183+C183)</f>
        <v>1.6000000000019554E-2</v>
      </c>
      <c r="G183" s="30">
        <v>1.349</v>
      </c>
      <c r="H183" s="6" t="s">
        <v>175</v>
      </c>
      <c r="I183" s="6">
        <v>-0.98</v>
      </c>
      <c r="J183" s="7">
        <v>177.232</v>
      </c>
      <c r="K183" s="17">
        <v>177.63900000000001</v>
      </c>
      <c r="L183" s="3">
        <f t="shared" si="29"/>
        <v>-181.381</v>
      </c>
      <c r="M183" s="3">
        <f t="shared" si="42"/>
        <v>-1.3810000000000002</v>
      </c>
      <c r="N183" s="3">
        <f t="shared" si="43"/>
        <v>358.61900000000003</v>
      </c>
      <c r="O183" s="27">
        <f t="shared" si="44"/>
        <v>-1.3809999999999718</v>
      </c>
      <c r="P183" s="17">
        <f t="shared" si="30"/>
        <v>-1.9059999999999728</v>
      </c>
      <c r="Q183" s="3">
        <f t="shared" si="31"/>
        <v>-178.21199999999999</v>
      </c>
      <c r="R183" s="3">
        <f t="shared" si="38"/>
        <v>1.7880000000000109</v>
      </c>
      <c r="S183" s="3">
        <f t="shared" si="39"/>
        <v>1.7880000000000109</v>
      </c>
      <c r="T183" s="27">
        <f t="shared" si="40"/>
        <v>1.7880000000000109</v>
      </c>
      <c r="U183" s="17">
        <f t="shared" si="32"/>
        <v>5.2168783783783867</v>
      </c>
      <c r="V183" s="27">
        <f t="shared" si="33"/>
        <v>-2.5644999999999998</v>
      </c>
    </row>
    <row r="184" spans="1:22" s="5" customFormat="1">
      <c r="A184" s="5">
        <v>60</v>
      </c>
      <c r="B184" s="17">
        <f t="shared" si="45"/>
        <v>170</v>
      </c>
      <c r="C184" s="5">
        <v>122.499</v>
      </c>
      <c r="D184" s="5">
        <v>123.819</v>
      </c>
      <c r="E184" s="5">
        <f t="shared" si="41"/>
        <v>113.68200000000002</v>
      </c>
      <c r="F184" s="25">
        <f>360-(113.662+D184+C184)</f>
        <v>1.999999999998181E-2</v>
      </c>
      <c r="G184" s="30">
        <v>1.349</v>
      </c>
      <c r="H184" s="6" t="s">
        <v>174</v>
      </c>
      <c r="I184" s="6">
        <v>-0.85699999999999998</v>
      </c>
      <c r="J184" s="7">
        <v>179.19</v>
      </c>
      <c r="K184" s="17">
        <v>177.57</v>
      </c>
      <c r="L184" s="3">
        <f t="shared" si="29"/>
        <v>-181.57300000000001</v>
      </c>
      <c r="M184" s="3">
        <f t="shared" si="42"/>
        <v>-1.5730000000000075</v>
      </c>
      <c r="N184" s="3">
        <f t="shared" si="43"/>
        <v>358.42700000000002</v>
      </c>
      <c r="O184" s="27">
        <f t="shared" si="44"/>
        <v>-1.5729999999999791</v>
      </c>
      <c r="P184" s="17">
        <f t="shared" si="30"/>
        <v>-2.0979999999999803</v>
      </c>
      <c r="Q184" s="3">
        <f t="shared" si="31"/>
        <v>-180.047</v>
      </c>
      <c r="R184" s="3">
        <f t="shared" si="38"/>
        <v>-4.6999999999997044E-2</v>
      </c>
      <c r="S184" s="3">
        <f t="shared" si="39"/>
        <v>359.95299999999997</v>
      </c>
      <c r="T184" s="27">
        <f t="shared" si="40"/>
        <v>-4.7000000000025466E-2</v>
      </c>
      <c r="U184" s="17">
        <f t="shared" si="32"/>
        <v>3.3818783783783504</v>
      </c>
      <c r="V184" s="27">
        <f t="shared" si="33"/>
        <v>-1.62</v>
      </c>
    </row>
    <row r="185" spans="1:22" s="11" customFormat="1" ht="19" thickBot="1">
      <c r="A185" s="11">
        <v>60</v>
      </c>
      <c r="B185" s="18">
        <f>B184+10</f>
        <v>180</v>
      </c>
      <c r="C185" s="11">
        <v>122.372</v>
      </c>
      <c r="D185" s="11">
        <v>123.845</v>
      </c>
      <c r="E185" s="11">
        <f t="shared" si="41"/>
        <v>113.78300000000002</v>
      </c>
      <c r="F185" s="26">
        <f>360-(113.745+D185+C185)</f>
        <v>3.8000000000010914E-2</v>
      </c>
      <c r="G185" s="31">
        <v>1.3480000000000001</v>
      </c>
      <c r="H185" s="12" t="s">
        <v>177</v>
      </c>
      <c r="I185" s="12">
        <v>0.65300000000000002</v>
      </c>
      <c r="J185" s="12" t="s">
        <v>176</v>
      </c>
      <c r="K185" s="18">
        <v>178.44499999999999</v>
      </c>
      <c r="L185" s="11">
        <f t="shared" si="29"/>
        <v>177.792</v>
      </c>
      <c r="M185" s="11">
        <f t="shared" si="42"/>
        <v>357.79200000000003</v>
      </c>
      <c r="N185" s="11">
        <f t="shared" si="43"/>
        <v>357.79200000000003</v>
      </c>
      <c r="O185" s="28">
        <f t="shared" si="44"/>
        <v>-2.20799999999997</v>
      </c>
      <c r="P185" s="18">
        <f t="shared" si="30"/>
        <v>-2.7329999999999712</v>
      </c>
      <c r="Q185" s="11">
        <f t="shared" si="31"/>
        <v>178.673</v>
      </c>
      <c r="R185" s="11">
        <f t="shared" si="38"/>
        <v>358.673</v>
      </c>
      <c r="S185" s="11">
        <f t="shared" si="39"/>
        <v>358.673</v>
      </c>
      <c r="T185" s="28">
        <f t="shared" si="40"/>
        <v>-1.3269999999999982</v>
      </c>
      <c r="U185" s="18">
        <f t="shared" si="32"/>
        <v>2.1018783783783777</v>
      </c>
      <c r="V185" s="28">
        <f t="shared" si="33"/>
        <v>0.21250000000000002</v>
      </c>
    </row>
    <row r="186" spans="1:22" s="5" customFormat="1" ht="19" thickTop="1">
      <c r="A186" s="5">
        <v>120</v>
      </c>
      <c r="B186" s="17">
        <v>-180</v>
      </c>
      <c r="C186" s="5">
        <v>121.681</v>
      </c>
      <c r="D186" s="5">
        <v>123.94499999999999</v>
      </c>
      <c r="E186" s="5">
        <f t="shared" si="41"/>
        <v>114.37400000000002</v>
      </c>
      <c r="F186" s="25">
        <f>360-(114.371+D186+C186)</f>
        <v>3.0000000000427463E-3</v>
      </c>
      <c r="G186" s="30">
        <v>1.347</v>
      </c>
      <c r="H186" s="7">
        <v>0.27100000000000002</v>
      </c>
      <c r="I186" s="7">
        <v>-1.081</v>
      </c>
      <c r="J186" s="6" t="s">
        <v>208</v>
      </c>
      <c r="K186" s="17">
        <v>178.392</v>
      </c>
      <c r="L186" s="3">
        <f t="shared" si="29"/>
        <v>179.47199999999998</v>
      </c>
      <c r="M186" s="3">
        <f t="shared" si="42"/>
        <v>359.47199999999998</v>
      </c>
      <c r="N186" s="3">
        <f t="shared" si="43"/>
        <v>359.47199999999998</v>
      </c>
      <c r="O186" s="27">
        <f t="shared" si="44"/>
        <v>-0.52800000000002001</v>
      </c>
      <c r="P186" s="17">
        <f t="shared" si="30"/>
        <v>-1.053000000000021</v>
      </c>
      <c r="Q186" s="3">
        <f t="shared" si="31"/>
        <v>178.12</v>
      </c>
      <c r="R186" s="3">
        <f t="shared" si="38"/>
        <v>358.12</v>
      </c>
      <c r="S186" s="3">
        <f t="shared" si="39"/>
        <v>358.12</v>
      </c>
      <c r="T186" s="27">
        <f t="shared" si="40"/>
        <v>-1.8799999999999955</v>
      </c>
      <c r="U186" s="17">
        <f t="shared" si="32"/>
        <v>1.5488783783783804</v>
      </c>
      <c r="V186" s="27">
        <f t="shared" si="33"/>
        <v>-0.40499999999999997</v>
      </c>
    </row>
    <row r="187" spans="1:22" s="5" customFormat="1">
      <c r="A187" s="5">
        <v>120</v>
      </c>
      <c r="B187" s="17">
        <f>B186+10</f>
        <v>-170</v>
      </c>
      <c r="C187" s="5">
        <v>121.298</v>
      </c>
      <c r="D187" s="5">
        <v>124.042</v>
      </c>
      <c r="E187" s="5">
        <f t="shared" si="41"/>
        <v>114.66</v>
      </c>
      <c r="F187" s="25">
        <f>360-(114.644+D187+C187)</f>
        <v>1.5999999999962711E-2</v>
      </c>
      <c r="G187" s="30">
        <v>1.3460000000000001</v>
      </c>
      <c r="H187" s="7">
        <v>2.512</v>
      </c>
      <c r="I187" s="7">
        <v>0.27500000000000002</v>
      </c>
      <c r="J187" s="6" t="s">
        <v>209</v>
      </c>
      <c r="K187" s="17">
        <v>178.81299999999999</v>
      </c>
      <c r="L187" s="3">
        <f t="shared" si="29"/>
        <v>178.53899999999999</v>
      </c>
      <c r="M187" s="3">
        <f t="shared" si="42"/>
        <v>358.53899999999999</v>
      </c>
      <c r="N187" s="3">
        <f t="shared" si="43"/>
        <v>358.53899999999999</v>
      </c>
      <c r="O187" s="27">
        <f t="shared" si="44"/>
        <v>-1.4610000000000127</v>
      </c>
      <c r="P187" s="17">
        <f t="shared" si="30"/>
        <v>-1.9860000000000138</v>
      </c>
      <c r="Q187" s="3">
        <f t="shared" si="31"/>
        <v>176.30199999999999</v>
      </c>
      <c r="R187" s="3">
        <f t="shared" si="38"/>
        <v>356.30200000000002</v>
      </c>
      <c r="S187" s="3">
        <f t="shared" si="39"/>
        <v>356.30200000000002</v>
      </c>
      <c r="T187" s="27">
        <f t="shared" si="40"/>
        <v>-3.6979999999999791</v>
      </c>
      <c r="U187" s="17">
        <f t="shared" si="32"/>
        <v>-0.26912162162160325</v>
      </c>
      <c r="V187" s="27">
        <f t="shared" si="33"/>
        <v>1.3935</v>
      </c>
    </row>
    <row r="188" spans="1:22" s="5" customFormat="1">
      <c r="A188" s="5">
        <v>120</v>
      </c>
      <c r="B188" s="17">
        <f t="shared" ref="B188:B221" si="46">B187+10</f>
        <v>-160</v>
      </c>
      <c r="C188" s="5">
        <v>120.90600000000001</v>
      </c>
      <c r="D188" s="5">
        <v>124.011</v>
      </c>
      <c r="E188" s="5">
        <f t="shared" si="41"/>
        <v>115.083</v>
      </c>
      <c r="F188" s="25">
        <f>360-(115.062+D188+C188)</f>
        <v>2.1000000000015007E-2</v>
      </c>
      <c r="G188" s="30">
        <v>1.345</v>
      </c>
      <c r="H188" s="7">
        <v>3.9670000000000001</v>
      </c>
      <c r="I188" s="7">
        <v>0.84399999999999997</v>
      </c>
      <c r="J188" s="6" t="s">
        <v>210</v>
      </c>
      <c r="K188" s="17">
        <v>179.173</v>
      </c>
      <c r="L188" s="3">
        <f t="shared" si="29"/>
        <v>178.32900000000001</v>
      </c>
      <c r="M188" s="3">
        <f t="shared" si="42"/>
        <v>358.32900000000001</v>
      </c>
      <c r="N188" s="3">
        <f t="shared" si="43"/>
        <v>358.32900000000001</v>
      </c>
      <c r="O188" s="27">
        <f t="shared" si="44"/>
        <v>-1.6709999999999923</v>
      </c>
      <c r="P188" s="17">
        <f t="shared" si="30"/>
        <v>-2.1959999999999935</v>
      </c>
      <c r="Q188" s="3">
        <f t="shared" si="31"/>
        <v>175.20599999999999</v>
      </c>
      <c r="R188" s="3">
        <f t="shared" si="38"/>
        <v>355.20600000000002</v>
      </c>
      <c r="S188" s="3">
        <f t="shared" si="39"/>
        <v>355.20600000000002</v>
      </c>
      <c r="T188" s="27">
        <f t="shared" si="40"/>
        <v>-4.7939999999999827</v>
      </c>
      <c r="U188" s="17">
        <f t="shared" si="32"/>
        <v>-1.3651216216216069</v>
      </c>
      <c r="V188" s="27">
        <f t="shared" si="33"/>
        <v>2.4055</v>
      </c>
    </row>
    <row r="189" spans="1:22" s="5" customFormat="1">
      <c r="A189" s="5">
        <v>120</v>
      </c>
      <c r="B189" s="17">
        <f t="shared" si="46"/>
        <v>-150</v>
      </c>
      <c r="C189" s="5">
        <v>120.59699999999999</v>
      </c>
      <c r="D189" s="5">
        <v>124.05</v>
      </c>
      <c r="E189" s="5">
        <f t="shared" si="41"/>
        <v>115.35300000000001</v>
      </c>
      <c r="F189" s="25">
        <f>360-(115.342+D189+C189)</f>
        <v>1.1000000000024102E-2</v>
      </c>
      <c r="G189" s="30">
        <v>1.345</v>
      </c>
      <c r="H189" s="7">
        <v>4.6950000000000003</v>
      </c>
      <c r="I189" s="7">
        <v>0.54400000000000004</v>
      </c>
      <c r="J189" s="6" t="s">
        <v>211</v>
      </c>
      <c r="K189" s="17">
        <v>179.30699999999999</v>
      </c>
      <c r="L189" s="3">
        <f t="shared" si="29"/>
        <v>178.76399999999998</v>
      </c>
      <c r="M189" s="3">
        <f t="shared" si="42"/>
        <v>358.76400000000001</v>
      </c>
      <c r="N189" s="3">
        <f t="shared" si="43"/>
        <v>358.76400000000001</v>
      </c>
      <c r="O189" s="27">
        <f t="shared" si="44"/>
        <v>-1.23599999999999</v>
      </c>
      <c r="P189" s="17">
        <f t="shared" si="30"/>
        <v>-1.760999999999991</v>
      </c>
      <c r="Q189" s="3">
        <f t="shared" si="31"/>
        <v>174.613</v>
      </c>
      <c r="R189" s="3">
        <f t="shared" si="38"/>
        <v>354.613</v>
      </c>
      <c r="S189" s="3">
        <f t="shared" si="39"/>
        <v>354.613</v>
      </c>
      <c r="T189" s="27">
        <f t="shared" si="40"/>
        <v>-5.3870000000000005</v>
      </c>
      <c r="U189" s="17">
        <f t="shared" si="32"/>
        <v>-1.9581216216216246</v>
      </c>
      <c r="V189" s="27">
        <f t="shared" si="33"/>
        <v>2.6195000000000004</v>
      </c>
    </row>
    <row r="190" spans="1:22" s="5" customFormat="1">
      <c r="A190" s="5">
        <v>120</v>
      </c>
      <c r="B190" s="17">
        <f t="shared" si="46"/>
        <v>-140</v>
      </c>
      <c r="C190" s="5">
        <v>120.215</v>
      </c>
      <c r="D190" s="5">
        <v>124.021</v>
      </c>
      <c r="E190" s="5">
        <f t="shared" si="41"/>
        <v>115.76400000000001</v>
      </c>
      <c r="F190" s="25">
        <f>360-(115.762+D190+C190)</f>
        <v>1.9999999999527063E-3</v>
      </c>
      <c r="G190" s="30">
        <v>1.345</v>
      </c>
      <c r="H190" s="7">
        <v>4.923</v>
      </c>
      <c r="I190" s="7">
        <v>-0.21299999999999999</v>
      </c>
      <c r="J190" s="6" t="s">
        <v>212</v>
      </c>
      <c r="K190" s="17">
        <v>179.233</v>
      </c>
      <c r="L190" s="3">
        <f t="shared" si="29"/>
        <v>179.447</v>
      </c>
      <c r="M190" s="3">
        <f t="shared" si="42"/>
        <v>359.447</v>
      </c>
      <c r="N190" s="3">
        <f t="shared" si="43"/>
        <v>359.447</v>
      </c>
      <c r="O190" s="27">
        <f t="shared" si="44"/>
        <v>-0.55299999999999727</v>
      </c>
      <c r="P190" s="17">
        <f t="shared" si="30"/>
        <v>-1.0779999999999983</v>
      </c>
      <c r="Q190" s="3">
        <f t="shared" si="31"/>
        <v>174.31100000000001</v>
      </c>
      <c r="R190" s="3">
        <f t="shared" si="38"/>
        <v>354.31100000000004</v>
      </c>
      <c r="S190" s="3">
        <f t="shared" si="39"/>
        <v>354.31100000000004</v>
      </c>
      <c r="T190" s="27">
        <f t="shared" si="40"/>
        <v>-5.6889999999999645</v>
      </c>
      <c r="U190" s="17">
        <f t="shared" si="32"/>
        <v>-2.2601216216215887</v>
      </c>
      <c r="V190" s="27">
        <f t="shared" si="33"/>
        <v>2.355</v>
      </c>
    </row>
    <row r="191" spans="1:22" s="5" customFormat="1">
      <c r="A191" s="5">
        <v>120</v>
      </c>
      <c r="B191" s="17">
        <f t="shared" si="46"/>
        <v>-130</v>
      </c>
      <c r="C191" s="5">
        <v>119.998</v>
      </c>
      <c r="D191" s="5">
        <v>123.965</v>
      </c>
      <c r="E191" s="5">
        <f t="shared" si="41"/>
        <v>116.03699999999998</v>
      </c>
      <c r="F191" s="25">
        <f>360-(116.035+D191+C191)</f>
        <v>2.0000000000095497E-3</v>
      </c>
      <c r="G191" s="30">
        <v>1.345</v>
      </c>
      <c r="H191" s="7">
        <v>3.9420000000000002</v>
      </c>
      <c r="I191" s="7">
        <v>-1.625</v>
      </c>
      <c r="J191" s="6" t="s">
        <v>213</v>
      </c>
      <c r="K191" s="17">
        <v>178.91200000000001</v>
      </c>
      <c r="L191" s="3">
        <f t="shared" si="29"/>
        <v>180.53700000000001</v>
      </c>
      <c r="M191" s="3">
        <f t="shared" si="42"/>
        <v>360.53700000000003</v>
      </c>
      <c r="N191" s="3">
        <f t="shared" si="43"/>
        <v>0.53700000000003456</v>
      </c>
      <c r="O191" s="27">
        <f t="shared" si="44"/>
        <v>0.53700000000003456</v>
      </c>
      <c r="P191" s="17">
        <f t="shared" si="30"/>
        <v>1.2000000000033539E-2</v>
      </c>
      <c r="Q191" s="3">
        <f t="shared" si="31"/>
        <v>174.97</v>
      </c>
      <c r="R191" s="3">
        <f t="shared" si="38"/>
        <v>354.97</v>
      </c>
      <c r="S191" s="3">
        <f t="shared" si="39"/>
        <v>354.97</v>
      </c>
      <c r="T191" s="27">
        <f t="shared" si="40"/>
        <v>-5.0299999999999727</v>
      </c>
      <c r="U191" s="17">
        <f t="shared" si="32"/>
        <v>-1.6011216216215969</v>
      </c>
      <c r="V191" s="27">
        <f t="shared" si="33"/>
        <v>1.1585000000000001</v>
      </c>
    </row>
    <row r="192" spans="1:22" s="5" customFormat="1">
      <c r="A192" s="5">
        <v>120</v>
      </c>
      <c r="B192" s="17">
        <f t="shared" si="46"/>
        <v>-120</v>
      </c>
      <c r="C192" s="5">
        <v>119.93300000000001</v>
      </c>
      <c r="D192" s="5">
        <v>123.90900000000001</v>
      </c>
      <c r="E192" s="5">
        <f t="shared" si="41"/>
        <v>116.15799999999999</v>
      </c>
      <c r="F192" s="25">
        <f>360-(116.143+D192+C192)</f>
        <v>1.4999999999986358E-2</v>
      </c>
      <c r="G192" s="30">
        <v>1.345</v>
      </c>
      <c r="H192" s="7">
        <v>3.407</v>
      </c>
      <c r="I192" s="7">
        <v>-2.6890000000000001</v>
      </c>
      <c r="J192" s="6" t="s">
        <v>214</v>
      </c>
      <c r="K192" s="17">
        <v>178.69200000000001</v>
      </c>
      <c r="L192" s="3">
        <f t="shared" si="29"/>
        <v>181.381</v>
      </c>
      <c r="M192" s="3">
        <f t="shared" si="42"/>
        <v>361.38099999999997</v>
      </c>
      <c r="N192" s="3">
        <f t="shared" si="43"/>
        <v>1.3809999999999718</v>
      </c>
      <c r="O192" s="27">
        <f t="shared" si="44"/>
        <v>1.3809999999999718</v>
      </c>
      <c r="P192" s="17">
        <f t="shared" si="30"/>
        <v>0.85599999999997078</v>
      </c>
      <c r="Q192" s="3">
        <f t="shared" si="31"/>
        <v>175.285</v>
      </c>
      <c r="R192" s="3">
        <f t="shared" si="38"/>
        <v>355.28499999999997</v>
      </c>
      <c r="S192" s="3">
        <f t="shared" si="39"/>
        <v>355.28499999999997</v>
      </c>
      <c r="T192" s="27">
        <f t="shared" si="40"/>
        <v>-4.7150000000000318</v>
      </c>
      <c r="U192" s="17">
        <f t="shared" si="32"/>
        <v>-1.286121621621656</v>
      </c>
      <c r="V192" s="27">
        <f t="shared" si="33"/>
        <v>0.35899999999999999</v>
      </c>
    </row>
    <row r="193" spans="1:22" s="5" customFormat="1">
      <c r="A193" s="5">
        <v>120</v>
      </c>
      <c r="B193" s="17">
        <f t="shared" si="46"/>
        <v>-110</v>
      </c>
      <c r="C193" s="5">
        <v>120.07299999999999</v>
      </c>
      <c r="D193" s="5">
        <v>123.889</v>
      </c>
      <c r="E193" s="5">
        <f t="shared" si="41"/>
        <v>116.03800000000001</v>
      </c>
      <c r="F193" s="25">
        <f>360-(116.005+D193+C193)</f>
        <v>3.3000000000015461E-2</v>
      </c>
      <c r="G193" s="30">
        <v>1.345</v>
      </c>
      <c r="H193" s="7">
        <v>2.427</v>
      </c>
      <c r="I193" s="7">
        <v>-3.6440000000000001</v>
      </c>
      <c r="J193" s="6" t="s">
        <v>215</v>
      </c>
      <c r="K193" s="17">
        <v>178.46299999999999</v>
      </c>
      <c r="L193" s="3">
        <f t="shared" si="29"/>
        <v>182.107</v>
      </c>
      <c r="M193" s="3">
        <f t="shared" si="42"/>
        <v>362.10699999999997</v>
      </c>
      <c r="N193" s="3">
        <f t="shared" si="43"/>
        <v>2.1069999999999709</v>
      </c>
      <c r="O193" s="27">
        <f t="shared" si="44"/>
        <v>2.1069999999999709</v>
      </c>
      <c r="P193" s="17">
        <f t="shared" si="30"/>
        <v>1.5819999999999699</v>
      </c>
      <c r="Q193" s="3">
        <f t="shared" si="31"/>
        <v>176.036</v>
      </c>
      <c r="R193" s="3">
        <f t="shared" si="38"/>
        <v>356.036</v>
      </c>
      <c r="S193" s="3">
        <f t="shared" si="39"/>
        <v>356.036</v>
      </c>
      <c r="T193" s="27">
        <f t="shared" si="40"/>
        <v>-3.9639999999999986</v>
      </c>
      <c r="U193" s="17">
        <f t="shared" si="32"/>
        <v>-0.5351216216216228</v>
      </c>
      <c r="V193" s="27">
        <f t="shared" si="33"/>
        <v>-0.60850000000000004</v>
      </c>
    </row>
    <row r="194" spans="1:22" s="5" customFormat="1">
      <c r="A194" s="5">
        <v>120</v>
      </c>
      <c r="B194" s="17">
        <f t="shared" si="46"/>
        <v>-100</v>
      </c>
      <c r="C194" s="5">
        <v>120.31</v>
      </c>
      <c r="D194" s="5">
        <v>123.83199999999999</v>
      </c>
      <c r="E194" s="5">
        <f t="shared" si="41"/>
        <v>115.858</v>
      </c>
      <c r="F194" s="25">
        <f>360-(115.809+D194+C194)</f>
        <v>4.8999999999978172E-2</v>
      </c>
      <c r="G194" s="30">
        <v>1.3460000000000001</v>
      </c>
      <c r="H194" s="7">
        <v>1.0389999999999999</v>
      </c>
      <c r="I194" s="7">
        <v>-4.524</v>
      </c>
      <c r="J194" s="7">
        <v>178.47399999999999</v>
      </c>
      <c r="K194" s="17">
        <v>178.041</v>
      </c>
      <c r="L194" s="3">
        <f t="shared" si="29"/>
        <v>-177.435</v>
      </c>
      <c r="M194" s="3">
        <f t="shared" si="42"/>
        <v>2.5649999999999977</v>
      </c>
      <c r="N194" s="3">
        <f t="shared" si="43"/>
        <v>2.5649999999999977</v>
      </c>
      <c r="O194" s="27">
        <f t="shared" si="44"/>
        <v>2.5649999999999977</v>
      </c>
      <c r="P194" s="17">
        <f t="shared" si="30"/>
        <v>2.0399999999999965</v>
      </c>
      <c r="Q194" s="3">
        <f t="shared" si="31"/>
        <v>-182.99799999999999</v>
      </c>
      <c r="R194" s="3">
        <f t="shared" si="38"/>
        <v>-2.9979999999999905</v>
      </c>
      <c r="S194" s="3">
        <f t="shared" si="39"/>
        <v>357.00200000000001</v>
      </c>
      <c r="T194" s="27">
        <f t="shared" si="40"/>
        <v>-2.9979999999999905</v>
      </c>
      <c r="U194" s="17">
        <f t="shared" si="32"/>
        <v>0.43087837837838538</v>
      </c>
      <c r="V194" s="27">
        <f t="shared" si="33"/>
        <v>-1.7425000000000002</v>
      </c>
    </row>
    <row r="195" spans="1:22" s="5" customFormat="1">
      <c r="A195" s="5">
        <v>120</v>
      </c>
      <c r="B195" s="17">
        <f t="shared" si="46"/>
        <v>-90</v>
      </c>
      <c r="C195" s="5">
        <v>120.61</v>
      </c>
      <c r="D195" s="5">
        <v>123.86</v>
      </c>
      <c r="E195" s="5">
        <f t="shared" si="41"/>
        <v>115.53</v>
      </c>
      <c r="F195" s="25">
        <f>360-(115.492+D195+C195)</f>
        <v>3.8000000000010914E-2</v>
      </c>
      <c r="G195" s="30">
        <v>1.347</v>
      </c>
      <c r="H195" s="6" t="s">
        <v>216</v>
      </c>
      <c r="I195" s="6">
        <v>-4.194</v>
      </c>
      <c r="J195" s="7">
        <v>177.60499999999999</v>
      </c>
      <c r="K195" s="17">
        <v>178.03200000000001</v>
      </c>
      <c r="L195" s="3">
        <f t="shared" ref="L195:L258" si="47">H195-J195</f>
        <v>-177.774</v>
      </c>
      <c r="M195" s="3">
        <f t="shared" si="42"/>
        <v>2.2259999999999991</v>
      </c>
      <c r="N195" s="3">
        <f t="shared" si="43"/>
        <v>2.2259999999999991</v>
      </c>
      <c r="O195" s="27">
        <f t="shared" si="44"/>
        <v>2.2259999999999991</v>
      </c>
      <c r="P195" s="17">
        <f t="shared" ref="P195:P258" si="48">O195-$O$299</f>
        <v>1.7009999999999981</v>
      </c>
      <c r="Q195" s="3">
        <f t="shared" ref="Q195:Q258" si="49">I195-J195</f>
        <v>-181.79899999999998</v>
      </c>
      <c r="R195" s="3">
        <f t="shared" si="38"/>
        <v>-1.7989999999999782</v>
      </c>
      <c r="S195" s="3">
        <f t="shared" si="39"/>
        <v>358.20100000000002</v>
      </c>
      <c r="T195" s="27">
        <f t="shared" si="40"/>
        <v>-1.7989999999999782</v>
      </c>
      <c r="U195" s="17">
        <f t="shared" ref="U195:U258" si="50">T195-$T$299</f>
        <v>1.6298783783783977</v>
      </c>
      <c r="V195" s="27">
        <f t="shared" ref="V195:V258" si="51">(H195+I195)/2</f>
        <v>-2.1814999999999998</v>
      </c>
    </row>
    <row r="196" spans="1:22" s="5" customFormat="1">
      <c r="A196" s="5">
        <v>120</v>
      </c>
      <c r="B196" s="17">
        <f t="shared" si="46"/>
        <v>-80</v>
      </c>
      <c r="C196" s="5">
        <v>120.94799999999999</v>
      </c>
      <c r="D196" s="5">
        <v>123.726</v>
      </c>
      <c r="E196" s="5">
        <f t="shared" si="41"/>
        <v>115.32600000000002</v>
      </c>
      <c r="F196" s="25">
        <f>360-(115.307+D196+C196)</f>
        <v>1.9000000000005457E-2</v>
      </c>
      <c r="G196" s="30">
        <v>1.347</v>
      </c>
      <c r="H196" s="6" t="s">
        <v>217</v>
      </c>
      <c r="I196" s="6">
        <v>-4.07</v>
      </c>
      <c r="J196" s="7">
        <v>177.739</v>
      </c>
      <c r="K196" s="17">
        <v>177.547</v>
      </c>
      <c r="L196" s="3">
        <f t="shared" si="47"/>
        <v>-178.38300000000001</v>
      </c>
      <c r="M196" s="3">
        <f t="shared" si="42"/>
        <v>1.6169999999999902</v>
      </c>
      <c r="N196" s="3">
        <f t="shared" si="43"/>
        <v>1.6169999999999902</v>
      </c>
      <c r="O196" s="27">
        <f t="shared" si="44"/>
        <v>1.6169999999999902</v>
      </c>
      <c r="P196" s="17">
        <f t="shared" si="48"/>
        <v>1.0919999999999892</v>
      </c>
      <c r="Q196" s="3">
        <f t="shared" si="49"/>
        <v>-181.809</v>
      </c>
      <c r="R196" s="3">
        <f t="shared" ref="R196:R259" si="52">Q196+180</f>
        <v>-1.8089999999999975</v>
      </c>
      <c r="S196" s="3">
        <f t="shared" ref="S196:S259" si="53">MOD(R196,360)</f>
        <v>358.19100000000003</v>
      </c>
      <c r="T196" s="27">
        <f t="shared" ref="T196:T259" si="54">IF(S196&gt;=180,S196-360,S196)</f>
        <v>-1.8089999999999691</v>
      </c>
      <c r="U196" s="17">
        <f t="shared" si="50"/>
        <v>1.6198783783784068</v>
      </c>
      <c r="V196" s="27">
        <f t="shared" si="51"/>
        <v>-2.3570000000000002</v>
      </c>
    </row>
    <row r="197" spans="1:22" s="5" customFormat="1">
      <c r="A197" s="5">
        <v>120</v>
      </c>
      <c r="B197" s="17">
        <f t="shared" si="46"/>
        <v>-70</v>
      </c>
      <c r="C197" s="5">
        <v>120.982</v>
      </c>
      <c r="D197" s="5">
        <v>123.768</v>
      </c>
      <c r="E197" s="5">
        <f t="shared" si="41"/>
        <v>115.25</v>
      </c>
      <c r="F197" s="25">
        <f>360-(115.25+D197+C197)</f>
        <v>0</v>
      </c>
      <c r="G197" s="30">
        <v>1.347</v>
      </c>
      <c r="H197" s="6" t="s">
        <v>218</v>
      </c>
      <c r="I197" s="6">
        <v>-2.577</v>
      </c>
      <c r="J197" s="7">
        <v>179.38399999999999</v>
      </c>
      <c r="K197" s="17">
        <v>177.566</v>
      </c>
      <c r="L197" s="3">
        <f t="shared" si="47"/>
        <v>-179.85599999999999</v>
      </c>
      <c r="M197" s="3">
        <f t="shared" si="42"/>
        <v>0.14400000000000546</v>
      </c>
      <c r="N197" s="3">
        <f t="shared" si="43"/>
        <v>0.14400000000000546</v>
      </c>
      <c r="O197" s="27">
        <f t="shared" si="44"/>
        <v>0.14400000000000546</v>
      </c>
      <c r="P197" s="17">
        <f t="shared" si="48"/>
        <v>-0.38099999999999556</v>
      </c>
      <c r="Q197" s="3">
        <f t="shared" si="49"/>
        <v>-181.96099999999998</v>
      </c>
      <c r="R197" s="3">
        <f t="shared" si="52"/>
        <v>-1.9609999999999843</v>
      </c>
      <c r="S197" s="3">
        <f t="shared" si="53"/>
        <v>358.03899999999999</v>
      </c>
      <c r="T197" s="27">
        <f t="shared" si="54"/>
        <v>-1.9610000000000127</v>
      </c>
      <c r="U197" s="17">
        <f t="shared" si="50"/>
        <v>1.4678783783783631</v>
      </c>
      <c r="V197" s="27">
        <f t="shared" si="51"/>
        <v>-1.5245</v>
      </c>
    </row>
    <row r="198" spans="1:22" s="5" customFormat="1">
      <c r="A198" s="5">
        <v>120</v>
      </c>
      <c r="B198" s="17">
        <f t="shared" si="46"/>
        <v>-60</v>
      </c>
      <c r="C198" s="5">
        <v>120.622</v>
      </c>
      <c r="D198" s="5">
        <v>123.88800000000001</v>
      </c>
      <c r="E198" s="5">
        <f t="shared" si="41"/>
        <v>115.49000000000001</v>
      </c>
      <c r="F198" s="25">
        <f>360-(115.47+D198+C198)</f>
        <v>1.999999999998181E-2</v>
      </c>
      <c r="G198" s="30">
        <v>1.3460000000000001</v>
      </c>
      <c r="H198" s="6" t="s">
        <v>220</v>
      </c>
      <c r="I198" s="6">
        <v>0.52</v>
      </c>
      <c r="J198" s="6" t="s">
        <v>219</v>
      </c>
      <c r="K198" s="17">
        <v>178.91900000000001</v>
      </c>
      <c r="L198" s="3">
        <f t="shared" si="47"/>
        <v>178.399</v>
      </c>
      <c r="M198" s="3">
        <f t="shared" si="42"/>
        <v>358.399</v>
      </c>
      <c r="N198" s="3">
        <f t="shared" si="43"/>
        <v>358.399</v>
      </c>
      <c r="O198" s="27">
        <f t="shared" si="44"/>
        <v>-1.6009999999999991</v>
      </c>
      <c r="P198" s="17">
        <f t="shared" si="48"/>
        <v>-2.1260000000000003</v>
      </c>
      <c r="Q198" s="3">
        <f t="shared" si="49"/>
        <v>180.32500000000002</v>
      </c>
      <c r="R198" s="3">
        <f t="shared" si="52"/>
        <v>360.32500000000005</v>
      </c>
      <c r="S198" s="3">
        <f t="shared" si="53"/>
        <v>0.32500000000004547</v>
      </c>
      <c r="T198" s="27">
        <f t="shared" si="54"/>
        <v>0.32500000000004547</v>
      </c>
      <c r="U198" s="17">
        <f t="shared" si="50"/>
        <v>3.7538783783784213</v>
      </c>
      <c r="V198" s="27">
        <f t="shared" si="51"/>
        <v>-0.44299999999999995</v>
      </c>
    </row>
    <row r="199" spans="1:22" s="5" customFormat="1">
      <c r="A199" s="5">
        <v>120</v>
      </c>
      <c r="B199" s="17">
        <f t="shared" si="46"/>
        <v>-50</v>
      </c>
      <c r="C199" s="5">
        <v>120.221</v>
      </c>
      <c r="D199" s="5">
        <v>123.883</v>
      </c>
      <c r="E199" s="5">
        <f t="shared" si="41"/>
        <v>115.89600000000002</v>
      </c>
      <c r="F199" s="25">
        <f>360-(115.839+D199+C199)</f>
        <v>5.7000000000016371E-2</v>
      </c>
      <c r="G199" s="30">
        <v>1.3460000000000001</v>
      </c>
      <c r="H199" s="6" t="s">
        <v>222</v>
      </c>
      <c r="I199" s="6">
        <v>2.5030000000000001</v>
      </c>
      <c r="J199" s="6" t="s">
        <v>221</v>
      </c>
      <c r="K199" s="17">
        <v>179.744</v>
      </c>
      <c r="L199" s="3">
        <f t="shared" si="47"/>
        <v>177.24099999999999</v>
      </c>
      <c r="M199" s="3">
        <f t="shared" si="42"/>
        <v>357.24099999999999</v>
      </c>
      <c r="N199" s="3">
        <f t="shared" si="43"/>
        <v>357.24099999999999</v>
      </c>
      <c r="O199" s="27">
        <f t="shared" si="44"/>
        <v>-2.7590000000000146</v>
      </c>
      <c r="P199" s="17">
        <f t="shared" si="48"/>
        <v>-3.2840000000000158</v>
      </c>
      <c r="Q199" s="3">
        <f t="shared" si="49"/>
        <v>181.00799999999998</v>
      </c>
      <c r="R199" s="3">
        <f t="shared" si="52"/>
        <v>361.00799999999998</v>
      </c>
      <c r="S199" s="3">
        <f t="shared" si="53"/>
        <v>1.0079999999999814</v>
      </c>
      <c r="T199" s="27">
        <f t="shared" si="54"/>
        <v>1.0079999999999814</v>
      </c>
      <c r="U199" s="17">
        <f t="shared" si="50"/>
        <v>4.4368783783783572</v>
      </c>
      <c r="V199" s="27">
        <f t="shared" si="51"/>
        <v>0.61950000000000005</v>
      </c>
    </row>
    <row r="200" spans="1:22" s="5" customFormat="1">
      <c r="A200" s="5">
        <v>120</v>
      </c>
      <c r="B200" s="17">
        <f t="shared" si="46"/>
        <v>-40</v>
      </c>
      <c r="C200" s="5">
        <v>119.75700000000001</v>
      </c>
      <c r="D200" s="5">
        <v>123.964</v>
      </c>
      <c r="E200" s="5">
        <f t="shared" si="41"/>
        <v>116.279</v>
      </c>
      <c r="F200" s="25">
        <f>360-(116.193+D200+C200)</f>
        <v>8.6000000000012733E-2</v>
      </c>
      <c r="G200" s="30">
        <v>1.345</v>
      </c>
      <c r="H200" s="6" t="s">
        <v>224</v>
      </c>
      <c r="I200" s="6">
        <v>3.847</v>
      </c>
      <c r="J200" s="6" t="s">
        <v>223</v>
      </c>
      <c r="K200" s="17">
        <v>179.55</v>
      </c>
      <c r="L200" s="3">
        <f t="shared" si="47"/>
        <v>176.602</v>
      </c>
      <c r="M200" s="3">
        <f t="shared" si="42"/>
        <v>356.60199999999998</v>
      </c>
      <c r="N200" s="3">
        <f t="shared" si="43"/>
        <v>356.60199999999998</v>
      </c>
      <c r="O200" s="27">
        <f t="shared" si="44"/>
        <v>-3.3980000000000246</v>
      </c>
      <c r="P200" s="17">
        <f t="shared" si="48"/>
        <v>-3.9230000000000258</v>
      </c>
      <c r="Q200" s="3">
        <f t="shared" si="49"/>
        <v>181.03100000000001</v>
      </c>
      <c r="R200" s="3">
        <f t="shared" si="52"/>
        <v>361.03100000000001</v>
      </c>
      <c r="S200" s="3">
        <f t="shared" si="53"/>
        <v>1.0310000000000059</v>
      </c>
      <c r="T200" s="27">
        <f t="shared" si="54"/>
        <v>1.0310000000000059</v>
      </c>
      <c r="U200" s="17">
        <f t="shared" si="50"/>
        <v>4.4598783783783817</v>
      </c>
      <c r="V200" s="27">
        <f t="shared" si="51"/>
        <v>1.6325000000000001</v>
      </c>
    </row>
    <row r="201" spans="1:22" s="5" customFormat="1">
      <c r="A201" s="5">
        <v>120</v>
      </c>
      <c r="B201" s="17">
        <f t="shared" si="46"/>
        <v>-30</v>
      </c>
      <c r="C201" s="5">
        <v>119.373</v>
      </c>
      <c r="D201" s="5">
        <v>124.04300000000001</v>
      </c>
      <c r="E201" s="5">
        <f t="shared" si="41"/>
        <v>116.584</v>
      </c>
      <c r="F201" s="25">
        <f>360-(116.521+D201+C201)</f>
        <v>6.2999999999988177E-2</v>
      </c>
      <c r="G201" s="30">
        <v>1.3440000000000001</v>
      </c>
      <c r="H201" s="6" t="s">
        <v>226</v>
      </c>
      <c r="I201" s="6">
        <v>3.101</v>
      </c>
      <c r="J201" s="6" t="s">
        <v>225</v>
      </c>
      <c r="K201" s="17">
        <v>179.82599999999999</v>
      </c>
      <c r="L201" s="3">
        <f t="shared" si="47"/>
        <v>177.07399999999998</v>
      </c>
      <c r="M201" s="3">
        <f t="shared" si="42"/>
        <v>357.07399999999996</v>
      </c>
      <c r="N201" s="3">
        <f t="shared" si="43"/>
        <v>357.07399999999996</v>
      </c>
      <c r="O201" s="27">
        <f t="shared" si="44"/>
        <v>-2.9260000000000446</v>
      </c>
      <c r="P201" s="17">
        <f t="shared" si="48"/>
        <v>-3.4510000000000458</v>
      </c>
      <c r="Q201" s="3">
        <f t="shared" si="49"/>
        <v>180.32</v>
      </c>
      <c r="R201" s="3">
        <f t="shared" si="52"/>
        <v>360.32</v>
      </c>
      <c r="S201" s="3">
        <f t="shared" si="53"/>
        <v>0.31999999999999318</v>
      </c>
      <c r="T201" s="27">
        <f t="shared" si="54"/>
        <v>0.31999999999999318</v>
      </c>
      <c r="U201" s="17">
        <f t="shared" si="50"/>
        <v>3.748878378378369</v>
      </c>
      <c r="V201" s="27">
        <f t="shared" si="51"/>
        <v>1.478</v>
      </c>
    </row>
    <row r="202" spans="1:22" s="5" customFormat="1">
      <c r="A202" s="5">
        <v>120</v>
      </c>
      <c r="B202" s="17">
        <f t="shared" si="46"/>
        <v>-20</v>
      </c>
      <c r="C202" s="5">
        <v>119</v>
      </c>
      <c r="D202" s="5">
        <v>124.26600000000001</v>
      </c>
      <c r="E202" s="5">
        <f t="shared" si="41"/>
        <v>116.73399999999998</v>
      </c>
      <c r="F202" s="25">
        <f>360-(116.708+D202+C202)</f>
        <v>2.6000000000010459E-2</v>
      </c>
      <c r="G202" s="30">
        <v>1.343</v>
      </c>
      <c r="H202" s="7">
        <v>0.51600000000000001</v>
      </c>
      <c r="I202" s="7">
        <v>1.254</v>
      </c>
      <c r="J202" s="6" t="s">
        <v>227</v>
      </c>
      <c r="K202" s="17">
        <v>179.37100000000001</v>
      </c>
      <c r="L202" s="3">
        <f t="shared" si="47"/>
        <v>178.11699999999999</v>
      </c>
      <c r="M202" s="3">
        <f t="shared" si="42"/>
        <v>358.11699999999996</v>
      </c>
      <c r="N202" s="3">
        <f t="shared" si="43"/>
        <v>358.11699999999996</v>
      </c>
      <c r="O202" s="27">
        <f t="shared" si="44"/>
        <v>-1.8830000000000382</v>
      </c>
      <c r="P202" s="17">
        <f t="shared" si="48"/>
        <v>-2.4080000000000394</v>
      </c>
      <c r="Q202" s="3">
        <f t="shared" si="49"/>
        <v>178.85499999999999</v>
      </c>
      <c r="R202" s="3">
        <f t="shared" si="52"/>
        <v>358.85500000000002</v>
      </c>
      <c r="S202" s="3">
        <f t="shared" si="53"/>
        <v>358.85500000000002</v>
      </c>
      <c r="T202" s="27">
        <f t="shared" si="54"/>
        <v>-1.1449999999999818</v>
      </c>
      <c r="U202" s="17">
        <f t="shared" si="50"/>
        <v>2.283878378378394</v>
      </c>
      <c r="V202" s="27">
        <f t="shared" si="51"/>
        <v>0.88500000000000001</v>
      </c>
    </row>
    <row r="203" spans="1:22" s="5" customFormat="1">
      <c r="A203" s="5">
        <v>120</v>
      </c>
      <c r="B203" s="17">
        <f t="shared" si="46"/>
        <v>-10</v>
      </c>
      <c r="C203" s="5">
        <v>118.788</v>
      </c>
      <c r="D203" s="5">
        <v>124.255</v>
      </c>
      <c r="E203" s="5">
        <f t="shared" si="41"/>
        <v>116.95699999999999</v>
      </c>
      <c r="F203" s="25">
        <f>360-(116.957+D203+C203)</f>
        <v>0</v>
      </c>
      <c r="G203" s="30">
        <v>1.343</v>
      </c>
      <c r="H203" s="7">
        <v>2.1139999999999999</v>
      </c>
      <c r="I203" s="7">
        <v>-2.1739999999999999</v>
      </c>
      <c r="J203" s="6" t="s">
        <v>228</v>
      </c>
      <c r="K203" s="17">
        <v>177.57</v>
      </c>
      <c r="L203" s="3">
        <f t="shared" si="47"/>
        <v>179.744</v>
      </c>
      <c r="M203" s="3">
        <f t="shared" si="42"/>
        <v>359.74400000000003</v>
      </c>
      <c r="N203" s="3">
        <f t="shared" si="43"/>
        <v>359.74400000000003</v>
      </c>
      <c r="O203" s="27">
        <f t="shared" si="44"/>
        <v>-0.25599999999997181</v>
      </c>
      <c r="P203" s="17">
        <f t="shared" si="48"/>
        <v>-0.78099999999997283</v>
      </c>
      <c r="Q203" s="3">
        <f t="shared" si="49"/>
        <v>175.45599999999999</v>
      </c>
      <c r="R203" s="3">
        <f t="shared" si="52"/>
        <v>355.45600000000002</v>
      </c>
      <c r="S203" s="3">
        <f t="shared" si="53"/>
        <v>355.45600000000002</v>
      </c>
      <c r="T203" s="27">
        <f t="shared" si="54"/>
        <v>-4.5439999999999827</v>
      </c>
      <c r="U203" s="17">
        <f t="shared" si="50"/>
        <v>-1.1151216216216069</v>
      </c>
      <c r="V203" s="27">
        <f t="shared" si="51"/>
        <v>-3.0000000000000027E-2</v>
      </c>
    </row>
    <row r="204" spans="1:22" s="5" customFormat="1">
      <c r="A204" s="5">
        <v>120</v>
      </c>
      <c r="B204" s="17">
        <v>10</v>
      </c>
      <c r="C204" s="5">
        <v>118.697</v>
      </c>
      <c r="D204" s="5">
        <v>124.143</v>
      </c>
      <c r="E204" s="5">
        <f t="shared" si="41"/>
        <v>117.16</v>
      </c>
      <c r="F204" s="25">
        <f>360-(117.075+D204+C204)</f>
        <v>8.4999999999979536E-2</v>
      </c>
      <c r="G204" s="30">
        <v>1.3440000000000001</v>
      </c>
      <c r="H204" s="7">
        <v>4.1079999999999997</v>
      </c>
      <c r="I204" s="7">
        <v>-9.2170000000000005</v>
      </c>
      <c r="J204" s="6" t="s">
        <v>229</v>
      </c>
      <c r="K204" s="17">
        <v>174.18199999999999</v>
      </c>
      <c r="L204" s="3">
        <f t="shared" si="47"/>
        <v>183.398</v>
      </c>
      <c r="M204" s="3">
        <f t="shared" si="42"/>
        <v>363.39800000000002</v>
      </c>
      <c r="N204" s="3">
        <f t="shared" si="43"/>
        <v>3.3980000000000246</v>
      </c>
      <c r="O204" s="27">
        <f t="shared" si="44"/>
        <v>3.3980000000000246</v>
      </c>
      <c r="P204" s="17">
        <f t="shared" si="48"/>
        <v>2.8730000000000233</v>
      </c>
      <c r="Q204" s="3">
        <f t="shared" si="49"/>
        <v>170.07299999999998</v>
      </c>
      <c r="R204" s="3">
        <f t="shared" si="52"/>
        <v>350.07299999999998</v>
      </c>
      <c r="S204" s="3">
        <f t="shared" si="53"/>
        <v>350.07299999999998</v>
      </c>
      <c r="T204" s="27">
        <f t="shared" si="54"/>
        <v>-9.9270000000000209</v>
      </c>
      <c r="U204" s="17">
        <f t="shared" si="50"/>
        <v>-6.4981216216216451</v>
      </c>
      <c r="V204" s="27">
        <f t="shared" si="51"/>
        <v>-2.5545000000000004</v>
      </c>
    </row>
    <row r="205" spans="1:22" s="5" customFormat="1">
      <c r="A205" s="5">
        <v>120</v>
      </c>
      <c r="B205" s="17">
        <f t="shared" si="46"/>
        <v>20</v>
      </c>
      <c r="C205" s="5">
        <v>118.834</v>
      </c>
      <c r="D205" s="5">
        <v>123.95699999999999</v>
      </c>
      <c r="E205" s="5">
        <f t="shared" si="41"/>
        <v>117.209</v>
      </c>
      <c r="F205" s="25">
        <f>360-(117.023+D205+C205)</f>
        <v>0.18600000000003547</v>
      </c>
      <c r="G205" s="30">
        <v>1.345</v>
      </c>
      <c r="H205" s="7">
        <v>4.5570000000000004</v>
      </c>
      <c r="I205" s="7">
        <v>-12.201000000000001</v>
      </c>
      <c r="J205" s="7">
        <v>179.52699999999999</v>
      </c>
      <c r="K205" s="17">
        <v>172.82900000000001</v>
      </c>
      <c r="L205" s="3">
        <f t="shared" si="47"/>
        <v>-174.97</v>
      </c>
      <c r="M205" s="3">
        <f t="shared" si="42"/>
        <v>5.0300000000000011</v>
      </c>
      <c r="N205" s="3">
        <f t="shared" si="43"/>
        <v>5.0300000000000011</v>
      </c>
      <c r="O205" s="27">
        <f t="shared" si="44"/>
        <v>5.0300000000000011</v>
      </c>
      <c r="P205" s="17">
        <f t="shared" si="48"/>
        <v>4.5049999999999999</v>
      </c>
      <c r="Q205" s="3">
        <f t="shared" si="49"/>
        <v>-191.72799999999998</v>
      </c>
      <c r="R205" s="3">
        <f t="shared" si="52"/>
        <v>-11.72799999999998</v>
      </c>
      <c r="S205" s="3">
        <f t="shared" si="53"/>
        <v>348.27200000000005</v>
      </c>
      <c r="T205" s="27">
        <f t="shared" si="54"/>
        <v>-11.727999999999952</v>
      </c>
      <c r="U205" s="17">
        <f t="shared" si="50"/>
        <v>-8.2991216216215768</v>
      </c>
      <c r="V205" s="27">
        <f t="shared" si="51"/>
        <v>-3.8220000000000001</v>
      </c>
    </row>
    <row r="206" spans="1:22" s="5" customFormat="1">
      <c r="A206" s="5">
        <v>120</v>
      </c>
      <c r="B206" s="17">
        <f t="shared" si="46"/>
        <v>30</v>
      </c>
      <c r="C206" s="5">
        <v>119.05</v>
      </c>
      <c r="D206" s="5">
        <v>123.709</v>
      </c>
      <c r="E206" s="5">
        <f t="shared" si="41"/>
        <v>117.24099999999999</v>
      </c>
      <c r="F206" s="25">
        <f>360-(117.009+D206+C206)</f>
        <v>0.2319999999999709</v>
      </c>
      <c r="G206" s="30">
        <v>1.3460000000000001</v>
      </c>
      <c r="H206" s="7">
        <v>5.0149999999999997</v>
      </c>
      <c r="I206" s="7">
        <v>-12.398</v>
      </c>
      <c r="J206" s="7">
        <v>179.42400000000001</v>
      </c>
      <c r="K206" s="17">
        <v>173.19399999999999</v>
      </c>
      <c r="L206" s="3">
        <f t="shared" si="47"/>
        <v>-174.40900000000002</v>
      </c>
      <c r="M206" s="3">
        <f t="shared" si="42"/>
        <v>5.5909999999999798</v>
      </c>
      <c r="N206" s="3">
        <f t="shared" si="43"/>
        <v>5.5909999999999798</v>
      </c>
      <c r="O206" s="27">
        <f t="shared" si="44"/>
        <v>5.5909999999999798</v>
      </c>
      <c r="P206" s="17">
        <f t="shared" si="48"/>
        <v>5.0659999999999785</v>
      </c>
      <c r="Q206" s="3">
        <f t="shared" si="49"/>
        <v>-191.822</v>
      </c>
      <c r="R206" s="3">
        <f t="shared" si="52"/>
        <v>-11.822000000000003</v>
      </c>
      <c r="S206" s="3">
        <f t="shared" si="53"/>
        <v>348.178</v>
      </c>
      <c r="T206" s="27">
        <f t="shared" si="54"/>
        <v>-11.822000000000003</v>
      </c>
      <c r="U206" s="17">
        <f t="shared" si="50"/>
        <v>-8.3931216216216278</v>
      </c>
      <c r="V206" s="27">
        <f t="shared" si="51"/>
        <v>-3.6915</v>
      </c>
    </row>
    <row r="207" spans="1:22" s="5" customFormat="1">
      <c r="A207" s="5">
        <v>120</v>
      </c>
      <c r="B207" s="17">
        <f t="shared" si="46"/>
        <v>40</v>
      </c>
      <c r="C207" s="5">
        <v>119.39700000000001</v>
      </c>
      <c r="D207" s="5">
        <v>123.443</v>
      </c>
      <c r="E207" s="5">
        <f t="shared" si="41"/>
        <v>117.16</v>
      </c>
      <c r="F207" s="25">
        <f>360-(116.948+D207+C207)</f>
        <v>0.21199999999998909</v>
      </c>
      <c r="G207" s="30">
        <v>1.3460000000000001</v>
      </c>
      <c r="H207" s="7">
        <v>4.508</v>
      </c>
      <c r="I207" s="7">
        <v>-10.534000000000001</v>
      </c>
      <c r="J207" s="7">
        <v>179.173</v>
      </c>
      <c r="K207" s="17">
        <v>174.80099999999999</v>
      </c>
      <c r="L207" s="3">
        <f t="shared" si="47"/>
        <v>-174.66499999999999</v>
      </c>
      <c r="M207" s="3">
        <f t="shared" si="42"/>
        <v>5.335000000000008</v>
      </c>
      <c r="N207" s="3">
        <f t="shared" si="43"/>
        <v>5.335000000000008</v>
      </c>
      <c r="O207" s="27">
        <f t="shared" si="44"/>
        <v>5.335000000000008</v>
      </c>
      <c r="P207" s="17">
        <f t="shared" si="48"/>
        <v>4.8100000000000067</v>
      </c>
      <c r="Q207" s="3">
        <f t="shared" si="49"/>
        <v>-189.70699999999999</v>
      </c>
      <c r="R207" s="3">
        <f t="shared" si="52"/>
        <v>-9.7069999999999936</v>
      </c>
      <c r="S207" s="3">
        <f t="shared" si="53"/>
        <v>350.29300000000001</v>
      </c>
      <c r="T207" s="27">
        <f t="shared" si="54"/>
        <v>-9.7069999999999936</v>
      </c>
      <c r="U207" s="17">
        <f t="shared" si="50"/>
        <v>-6.2781216216216178</v>
      </c>
      <c r="V207" s="27">
        <f t="shared" si="51"/>
        <v>-3.0130000000000003</v>
      </c>
    </row>
    <row r="208" spans="1:22" s="5" customFormat="1">
      <c r="A208" s="5">
        <v>120</v>
      </c>
      <c r="B208" s="17">
        <f t="shared" si="46"/>
        <v>50</v>
      </c>
      <c r="C208" s="5">
        <v>119.88800000000001</v>
      </c>
      <c r="D208" s="5">
        <v>123.387</v>
      </c>
      <c r="E208" s="5">
        <f t="shared" si="41"/>
        <v>116.72499999999999</v>
      </c>
      <c r="F208" s="25">
        <f>360-(116.638+D208+C208)</f>
        <v>8.6999999999989086E-2</v>
      </c>
      <c r="G208" s="30">
        <v>1.347</v>
      </c>
      <c r="H208" s="7">
        <v>3.43</v>
      </c>
      <c r="I208" s="7">
        <v>-4.2519999999999998</v>
      </c>
      <c r="J208" s="6" t="s">
        <v>230</v>
      </c>
      <c r="K208" s="17">
        <v>179.137</v>
      </c>
      <c r="L208" s="3">
        <f t="shared" si="47"/>
        <v>183.38900000000001</v>
      </c>
      <c r="M208" s="3">
        <f t="shared" si="42"/>
        <v>363.38900000000001</v>
      </c>
      <c r="N208" s="3">
        <f t="shared" si="43"/>
        <v>3.38900000000001</v>
      </c>
      <c r="O208" s="27">
        <f t="shared" si="44"/>
        <v>3.38900000000001</v>
      </c>
      <c r="P208" s="17">
        <f t="shared" si="48"/>
        <v>2.8640000000000088</v>
      </c>
      <c r="Q208" s="3">
        <f t="shared" si="49"/>
        <v>175.70699999999999</v>
      </c>
      <c r="R208" s="3">
        <f t="shared" si="52"/>
        <v>355.70699999999999</v>
      </c>
      <c r="S208" s="3">
        <f t="shared" si="53"/>
        <v>355.70699999999999</v>
      </c>
      <c r="T208" s="27">
        <f t="shared" si="54"/>
        <v>-4.2930000000000064</v>
      </c>
      <c r="U208" s="17">
        <f t="shared" si="50"/>
        <v>-0.86412162162163053</v>
      </c>
      <c r="V208" s="27">
        <f t="shared" si="51"/>
        <v>-0.41099999999999981</v>
      </c>
    </row>
    <row r="209" spans="1:22" s="5" customFormat="1">
      <c r="A209" s="5">
        <v>120</v>
      </c>
      <c r="B209" s="17">
        <f t="shared" si="46"/>
        <v>60</v>
      </c>
      <c r="C209" s="5">
        <v>120.438</v>
      </c>
      <c r="D209" s="5">
        <v>123.226</v>
      </c>
      <c r="E209" s="5">
        <f t="shared" si="41"/>
        <v>116.33600000000001</v>
      </c>
      <c r="F209" s="25">
        <f>360-(116.325+D209+C209)</f>
        <v>1.1000000000024102E-2</v>
      </c>
      <c r="G209" s="30">
        <v>1.3480000000000001</v>
      </c>
      <c r="H209" s="7">
        <v>2.508</v>
      </c>
      <c r="I209" s="7">
        <v>0.88300000000000001</v>
      </c>
      <c r="J209" s="6" t="s">
        <v>231</v>
      </c>
      <c r="K209" s="17">
        <v>177.91300000000001</v>
      </c>
      <c r="L209" s="3">
        <f t="shared" si="47"/>
        <v>181.20400000000001</v>
      </c>
      <c r="M209" s="3">
        <f t="shared" si="42"/>
        <v>361.20400000000001</v>
      </c>
      <c r="N209" s="3">
        <f t="shared" si="43"/>
        <v>1.2040000000000077</v>
      </c>
      <c r="O209" s="27">
        <f t="shared" si="44"/>
        <v>1.2040000000000077</v>
      </c>
      <c r="P209" s="17">
        <f t="shared" si="48"/>
        <v>0.67900000000000671</v>
      </c>
      <c r="Q209" s="3">
        <f t="shared" si="49"/>
        <v>179.57900000000001</v>
      </c>
      <c r="R209" s="3">
        <f t="shared" si="52"/>
        <v>359.57900000000001</v>
      </c>
      <c r="S209" s="3">
        <f t="shared" si="53"/>
        <v>359.57900000000001</v>
      </c>
      <c r="T209" s="27">
        <f t="shared" si="54"/>
        <v>-0.42099999999999227</v>
      </c>
      <c r="U209" s="17">
        <f t="shared" si="50"/>
        <v>3.0078783783783836</v>
      </c>
      <c r="V209" s="27">
        <f t="shared" si="51"/>
        <v>1.6955</v>
      </c>
    </row>
    <row r="210" spans="1:22" s="5" customFormat="1">
      <c r="A210" s="5">
        <v>120</v>
      </c>
      <c r="B210" s="17">
        <f t="shared" si="46"/>
        <v>70</v>
      </c>
      <c r="C210" s="5">
        <v>120.854</v>
      </c>
      <c r="D210" s="5">
        <v>123.44</v>
      </c>
      <c r="E210" s="5">
        <f t="shared" si="41"/>
        <v>115.70600000000002</v>
      </c>
      <c r="F210" s="25">
        <f>360-(115.699+D210+C210)</f>
        <v>7.0000000000050022E-3</v>
      </c>
      <c r="G210" s="30">
        <v>1.3480000000000001</v>
      </c>
      <c r="H210" s="7">
        <v>2.4710000000000001</v>
      </c>
      <c r="I210" s="7">
        <v>3.9969999999999999</v>
      </c>
      <c r="J210" s="6" t="s">
        <v>232</v>
      </c>
      <c r="K210" s="17">
        <v>176.93899999999999</v>
      </c>
      <c r="L210" s="3">
        <f t="shared" si="47"/>
        <v>179.06399999999999</v>
      </c>
      <c r="M210" s="3">
        <f t="shared" si="42"/>
        <v>359.06399999999996</v>
      </c>
      <c r="N210" s="3">
        <f t="shared" si="43"/>
        <v>359.06399999999996</v>
      </c>
      <c r="O210" s="27">
        <f t="shared" si="44"/>
        <v>-0.93600000000003547</v>
      </c>
      <c r="P210" s="17">
        <f t="shared" si="48"/>
        <v>-1.4610000000000365</v>
      </c>
      <c r="Q210" s="3">
        <f t="shared" si="49"/>
        <v>180.58999999999997</v>
      </c>
      <c r="R210" s="3">
        <f t="shared" si="52"/>
        <v>360.59</v>
      </c>
      <c r="S210" s="3">
        <f t="shared" si="53"/>
        <v>0.58999999999997499</v>
      </c>
      <c r="T210" s="27">
        <f t="shared" si="54"/>
        <v>0.58999999999997499</v>
      </c>
      <c r="U210" s="17">
        <f t="shared" si="50"/>
        <v>4.0188783783783508</v>
      </c>
      <c r="V210" s="27">
        <f t="shared" si="51"/>
        <v>3.234</v>
      </c>
    </row>
    <row r="211" spans="1:22" s="5" customFormat="1">
      <c r="A211" s="5">
        <v>120</v>
      </c>
      <c r="B211" s="17">
        <f t="shared" si="46"/>
        <v>80</v>
      </c>
      <c r="C211" s="5">
        <v>121.09399999999999</v>
      </c>
      <c r="D211" s="5">
        <v>123.57299999999999</v>
      </c>
      <c r="E211" s="5">
        <f t="shared" si="41"/>
        <v>115.33300000000003</v>
      </c>
      <c r="F211" s="25">
        <f>360-(115.314+D211+C211)</f>
        <v>1.9000000000005457E-2</v>
      </c>
      <c r="G211" s="30">
        <v>1.3480000000000001</v>
      </c>
      <c r="H211" s="7">
        <v>1.288</v>
      </c>
      <c r="I211" s="7">
        <v>3.6459999999999999</v>
      </c>
      <c r="J211" s="6" t="s">
        <v>234</v>
      </c>
      <c r="K211" s="17">
        <v>177.93299999999999</v>
      </c>
      <c r="L211" s="3">
        <f t="shared" si="47"/>
        <v>178.422</v>
      </c>
      <c r="M211" s="3">
        <f t="shared" si="42"/>
        <v>358.42200000000003</v>
      </c>
      <c r="N211" s="3">
        <f t="shared" si="43"/>
        <v>358.42200000000003</v>
      </c>
      <c r="O211" s="27">
        <f t="shared" si="44"/>
        <v>-1.5779999999999745</v>
      </c>
      <c r="P211" s="17">
        <f t="shared" si="48"/>
        <v>-2.1029999999999758</v>
      </c>
      <c r="Q211" s="3">
        <f t="shared" si="49"/>
        <v>180.77999999999997</v>
      </c>
      <c r="R211" s="3">
        <f t="shared" si="52"/>
        <v>360.78</v>
      </c>
      <c r="S211" s="3">
        <f t="shared" si="53"/>
        <v>0.77999999999997272</v>
      </c>
      <c r="T211" s="27">
        <f t="shared" si="54"/>
        <v>0.77999999999997272</v>
      </c>
      <c r="U211" s="17">
        <f t="shared" si="50"/>
        <v>4.2088783783783486</v>
      </c>
      <c r="V211" s="27">
        <f t="shared" si="51"/>
        <v>2.4670000000000001</v>
      </c>
    </row>
    <row r="212" spans="1:22" s="5" customFormat="1">
      <c r="A212" s="5">
        <v>120</v>
      </c>
      <c r="B212" s="17">
        <f t="shared" si="46"/>
        <v>90</v>
      </c>
      <c r="C212" s="5">
        <v>121.063</v>
      </c>
      <c r="D212" s="5">
        <v>123.643</v>
      </c>
      <c r="E212" s="5">
        <f t="shared" si="41"/>
        <v>115.29399999999998</v>
      </c>
      <c r="F212" s="25">
        <f>360-(115.268+D212+C212)</f>
        <v>2.6000000000010459E-2</v>
      </c>
      <c r="G212" s="30">
        <v>1.347</v>
      </c>
      <c r="H212" s="7">
        <v>1.74</v>
      </c>
      <c r="I212" s="7">
        <v>2.5009999999999999</v>
      </c>
      <c r="J212" s="6" t="s">
        <v>233</v>
      </c>
      <c r="K212" s="17">
        <v>179.34899999999999</v>
      </c>
      <c r="L212" s="3">
        <f t="shared" si="47"/>
        <v>178.15</v>
      </c>
      <c r="M212" s="3">
        <f t="shared" si="42"/>
        <v>358.15</v>
      </c>
      <c r="N212" s="3">
        <f t="shared" si="43"/>
        <v>358.15</v>
      </c>
      <c r="O212" s="27">
        <f t="shared" si="44"/>
        <v>-1.8500000000000227</v>
      </c>
      <c r="P212" s="17">
        <f t="shared" si="48"/>
        <v>-2.375000000000024</v>
      </c>
      <c r="Q212" s="3">
        <f t="shared" si="49"/>
        <v>178.911</v>
      </c>
      <c r="R212" s="3">
        <f t="shared" si="52"/>
        <v>358.911</v>
      </c>
      <c r="S212" s="3">
        <f t="shared" si="53"/>
        <v>358.911</v>
      </c>
      <c r="T212" s="27">
        <f t="shared" si="54"/>
        <v>-1.0889999999999986</v>
      </c>
      <c r="U212" s="17">
        <f t="shared" si="50"/>
        <v>2.3398783783783772</v>
      </c>
      <c r="V212" s="27">
        <f t="shared" si="51"/>
        <v>2.1204999999999998</v>
      </c>
    </row>
    <row r="213" spans="1:22" s="5" customFormat="1">
      <c r="A213" s="5">
        <v>120</v>
      </c>
      <c r="B213" s="17">
        <f t="shared" si="46"/>
        <v>100</v>
      </c>
      <c r="C213" s="5">
        <v>120.852</v>
      </c>
      <c r="D213" s="5">
        <v>123.821</v>
      </c>
      <c r="E213" s="5">
        <f t="shared" si="41"/>
        <v>115.327</v>
      </c>
      <c r="F213" s="25">
        <f>360-(115.31+D213+C213)</f>
        <v>1.6999999999995907E-2</v>
      </c>
      <c r="G213" s="30">
        <v>1.347</v>
      </c>
      <c r="H213" s="6" t="s">
        <v>236</v>
      </c>
      <c r="I213" s="6">
        <v>1.2889999999999999</v>
      </c>
      <c r="J213" s="6" t="s">
        <v>235</v>
      </c>
      <c r="K213" s="17">
        <v>179.822</v>
      </c>
      <c r="L213" s="3">
        <f t="shared" si="47"/>
        <v>178.53300000000002</v>
      </c>
      <c r="M213" s="3">
        <f t="shared" si="42"/>
        <v>358.53300000000002</v>
      </c>
      <c r="N213" s="3">
        <f t="shared" si="43"/>
        <v>358.53300000000002</v>
      </c>
      <c r="O213" s="27">
        <f t="shared" si="44"/>
        <v>-1.4669999999999845</v>
      </c>
      <c r="P213" s="17">
        <f t="shared" si="48"/>
        <v>-1.9919999999999856</v>
      </c>
      <c r="Q213" s="3">
        <f t="shared" si="49"/>
        <v>180.05799999999999</v>
      </c>
      <c r="R213" s="3">
        <f t="shared" si="52"/>
        <v>360.05799999999999</v>
      </c>
      <c r="S213" s="3">
        <f t="shared" si="53"/>
        <v>5.7999999999992724E-2</v>
      </c>
      <c r="T213" s="27">
        <f t="shared" si="54"/>
        <v>5.7999999999992724E-2</v>
      </c>
      <c r="U213" s="17">
        <f t="shared" si="50"/>
        <v>3.4868783783783686</v>
      </c>
      <c r="V213" s="27">
        <f t="shared" si="51"/>
        <v>0.52649999999999997</v>
      </c>
    </row>
    <row r="214" spans="1:22" s="5" customFormat="1">
      <c r="A214" s="5">
        <v>120</v>
      </c>
      <c r="B214" s="17">
        <f t="shared" si="46"/>
        <v>110</v>
      </c>
      <c r="C214" s="5">
        <v>120.84099999999999</v>
      </c>
      <c r="D214" s="5">
        <v>123.759</v>
      </c>
      <c r="E214" s="5">
        <f t="shared" ref="E214:E277" si="55">360-(C214+D214)</f>
        <v>115.4</v>
      </c>
      <c r="F214" s="25">
        <f>360-(115.394+D214+C214)</f>
        <v>5.9999999999718057E-3</v>
      </c>
      <c r="G214" s="30">
        <v>1.347</v>
      </c>
      <c r="H214" s="7">
        <v>0.22700000000000001</v>
      </c>
      <c r="I214" s="7">
        <v>-0.45600000000000002</v>
      </c>
      <c r="J214" s="6" t="s">
        <v>237</v>
      </c>
      <c r="K214" s="17">
        <v>178.63300000000001</v>
      </c>
      <c r="L214" s="3">
        <f t="shared" si="47"/>
        <v>179.09</v>
      </c>
      <c r="M214" s="3">
        <f t="shared" ref="M214:M277" si="56">L214+180</f>
        <v>359.09000000000003</v>
      </c>
      <c r="N214" s="3">
        <f t="shared" ref="N214:N277" si="57">MOD(M214,360)</f>
        <v>359.09000000000003</v>
      </c>
      <c r="O214" s="27">
        <f t="shared" ref="O214:O277" si="58">IF(N214&gt;=180,N214-360,N214)</f>
        <v>-0.90999999999996817</v>
      </c>
      <c r="P214" s="17">
        <f t="shared" si="48"/>
        <v>-1.4349999999999692</v>
      </c>
      <c r="Q214" s="3">
        <f t="shared" si="49"/>
        <v>178.40700000000001</v>
      </c>
      <c r="R214" s="3">
        <f t="shared" si="52"/>
        <v>358.40700000000004</v>
      </c>
      <c r="S214" s="3">
        <f t="shared" si="53"/>
        <v>358.40700000000004</v>
      </c>
      <c r="T214" s="27">
        <f t="shared" si="54"/>
        <v>-1.5929999999999609</v>
      </c>
      <c r="U214" s="17">
        <f t="shared" si="50"/>
        <v>1.8358783783784149</v>
      </c>
      <c r="V214" s="27">
        <f t="shared" si="51"/>
        <v>-0.1145</v>
      </c>
    </row>
    <row r="215" spans="1:22" s="5" customFormat="1">
      <c r="A215" s="5">
        <v>120</v>
      </c>
      <c r="B215" s="17">
        <f t="shared" si="46"/>
        <v>120</v>
      </c>
      <c r="C215" s="5">
        <v>120.794</v>
      </c>
      <c r="D215" s="5">
        <v>123.706</v>
      </c>
      <c r="E215" s="5">
        <f t="shared" si="55"/>
        <v>115.5</v>
      </c>
      <c r="F215" s="25">
        <f>360-(115.499+D215+C215)</f>
        <v>1.0000000000331966E-3</v>
      </c>
      <c r="G215" s="30">
        <v>1.347</v>
      </c>
      <c r="H215" s="6" t="s">
        <v>238</v>
      </c>
      <c r="I215" s="6">
        <v>-3.0449999999999999</v>
      </c>
      <c r="J215" s="7">
        <v>179.75899999999999</v>
      </c>
      <c r="K215" s="17">
        <v>177.185</v>
      </c>
      <c r="L215" s="3">
        <f t="shared" si="47"/>
        <v>-179.76999999999998</v>
      </c>
      <c r="M215" s="3">
        <f t="shared" si="56"/>
        <v>0.23000000000001819</v>
      </c>
      <c r="N215" s="3">
        <f t="shared" si="57"/>
        <v>0.23000000000001819</v>
      </c>
      <c r="O215" s="27">
        <f t="shared" si="58"/>
        <v>0.23000000000001819</v>
      </c>
      <c r="P215" s="17">
        <f t="shared" si="48"/>
        <v>-0.29499999999998283</v>
      </c>
      <c r="Q215" s="3">
        <f t="shared" si="49"/>
        <v>-182.80399999999997</v>
      </c>
      <c r="R215" s="3">
        <f t="shared" si="52"/>
        <v>-2.8039999999999736</v>
      </c>
      <c r="S215" s="3">
        <f t="shared" si="53"/>
        <v>357.19600000000003</v>
      </c>
      <c r="T215" s="27">
        <f t="shared" si="54"/>
        <v>-2.8039999999999736</v>
      </c>
      <c r="U215" s="17">
        <f t="shared" si="50"/>
        <v>0.62487837837840221</v>
      </c>
      <c r="V215" s="27">
        <f t="shared" si="51"/>
        <v>-1.528</v>
      </c>
    </row>
    <row r="216" spans="1:22" s="5" customFormat="1">
      <c r="A216" s="5">
        <v>120</v>
      </c>
      <c r="B216" s="17">
        <f t="shared" si="46"/>
        <v>130</v>
      </c>
      <c r="C216" s="5">
        <v>121.011</v>
      </c>
      <c r="D216" s="5">
        <v>123.768</v>
      </c>
      <c r="E216" s="5">
        <f t="shared" si="55"/>
        <v>115.221</v>
      </c>
      <c r="F216" s="25">
        <f>360-(115.213+D216+C216)</f>
        <v>8.0000000000381988E-3</v>
      </c>
      <c r="G216" s="30">
        <v>1.3460000000000001</v>
      </c>
      <c r="H216" s="6" t="s">
        <v>239</v>
      </c>
      <c r="I216" s="6">
        <v>-4.1100000000000003</v>
      </c>
      <c r="J216" s="7">
        <v>177.857</v>
      </c>
      <c r="K216" s="17">
        <v>176.905</v>
      </c>
      <c r="L216" s="3">
        <f t="shared" si="47"/>
        <v>-178.98499999999999</v>
      </c>
      <c r="M216" s="3">
        <f t="shared" si="56"/>
        <v>1.0150000000000148</v>
      </c>
      <c r="N216" s="3">
        <f t="shared" si="57"/>
        <v>1.0150000000000148</v>
      </c>
      <c r="O216" s="27">
        <f t="shared" si="58"/>
        <v>1.0150000000000148</v>
      </c>
      <c r="P216" s="17">
        <f t="shared" si="48"/>
        <v>0.49000000000001376</v>
      </c>
      <c r="Q216" s="3">
        <f t="shared" si="49"/>
        <v>-181.96700000000001</v>
      </c>
      <c r="R216" s="3">
        <f t="shared" si="52"/>
        <v>-1.967000000000013</v>
      </c>
      <c r="S216" s="3">
        <f t="shared" si="53"/>
        <v>358.03300000000002</v>
      </c>
      <c r="T216" s="27">
        <f t="shared" si="54"/>
        <v>-1.9669999999999845</v>
      </c>
      <c r="U216" s="17">
        <f t="shared" si="50"/>
        <v>1.4618783783783913</v>
      </c>
      <c r="V216" s="27">
        <f t="shared" si="51"/>
        <v>-2.6190000000000002</v>
      </c>
    </row>
    <row r="217" spans="1:22" s="5" customFormat="1">
      <c r="A217" s="5">
        <v>120</v>
      </c>
      <c r="B217" s="17">
        <f t="shared" si="46"/>
        <v>140</v>
      </c>
      <c r="C217" s="5">
        <v>121.313</v>
      </c>
      <c r="D217" s="5">
        <v>123.858</v>
      </c>
      <c r="E217" s="5">
        <f t="shared" si="55"/>
        <v>114.82900000000001</v>
      </c>
      <c r="F217" s="25">
        <f>360-(114.808+D217+C217)</f>
        <v>2.1000000000015007E-2</v>
      </c>
      <c r="G217" s="30">
        <v>1.347</v>
      </c>
      <c r="H217" s="6" t="s">
        <v>240</v>
      </c>
      <c r="I217" s="6">
        <v>-5.056</v>
      </c>
      <c r="J217" s="7">
        <v>176.95400000000001</v>
      </c>
      <c r="K217" s="17">
        <v>176.61099999999999</v>
      </c>
      <c r="L217" s="3">
        <f t="shared" si="47"/>
        <v>-178.333</v>
      </c>
      <c r="M217" s="3">
        <f t="shared" si="56"/>
        <v>1.6670000000000016</v>
      </c>
      <c r="N217" s="3">
        <f t="shared" si="57"/>
        <v>1.6670000000000016</v>
      </c>
      <c r="O217" s="27">
        <f t="shared" si="58"/>
        <v>1.6670000000000016</v>
      </c>
      <c r="P217" s="17">
        <f t="shared" si="48"/>
        <v>1.1420000000000006</v>
      </c>
      <c r="Q217" s="3">
        <f t="shared" si="49"/>
        <v>-182.01000000000002</v>
      </c>
      <c r="R217" s="3">
        <f t="shared" si="52"/>
        <v>-2.0100000000000193</v>
      </c>
      <c r="S217" s="3">
        <f t="shared" si="53"/>
        <v>357.99</v>
      </c>
      <c r="T217" s="27">
        <f t="shared" si="54"/>
        <v>-2.0099999999999909</v>
      </c>
      <c r="U217" s="17">
        <f t="shared" si="50"/>
        <v>1.4188783783783849</v>
      </c>
      <c r="V217" s="27">
        <f t="shared" si="51"/>
        <v>-3.2175000000000002</v>
      </c>
    </row>
    <row r="218" spans="1:22" s="5" customFormat="1">
      <c r="A218" s="5">
        <v>120</v>
      </c>
      <c r="B218" s="17">
        <f t="shared" si="46"/>
        <v>150</v>
      </c>
      <c r="C218" s="5">
        <v>121.60899999999999</v>
      </c>
      <c r="D218" s="5">
        <v>123.911</v>
      </c>
      <c r="E218" s="5">
        <f t="shared" si="55"/>
        <v>114.48000000000002</v>
      </c>
      <c r="F218" s="25">
        <f>360-(114.451+D218+C218)</f>
        <v>2.8999999999996362E-2</v>
      </c>
      <c r="G218" s="30">
        <v>1.347</v>
      </c>
      <c r="H218" s="6" t="s">
        <v>241</v>
      </c>
      <c r="I218" s="6">
        <v>-5.2839999999999998</v>
      </c>
      <c r="J218" s="7">
        <v>176.63200000000001</v>
      </c>
      <c r="K218" s="17">
        <v>176.65</v>
      </c>
      <c r="L218" s="3">
        <f t="shared" si="47"/>
        <v>-178.066</v>
      </c>
      <c r="M218" s="3">
        <f t="shared" si="56"/>
        <v>1.9339999999999975</v>
      </c>
      <c r="N218" s="3">
        <f t="shared" si="57"/>
        <v>1.9339999999999975</v>
      </c>
      <c r="O218" s="27">
        <f t="shared" si="58"/>
        <v>1.9339999999999975</v>
      </c>
      <c r="P218" s="17">
        <f t="shared" si="48"/>
        <v>1.4089999999999965</v>
      </c>
      <c r="Q218" s="3">
        <f t="shared" si="49"/>
        <v>-181.916</v>
      </c>
      <c r="R218" s="3">
        <f t="shared" si="52"/>
        <v>-1.9159999999999968</v>
      </c>
      <c r="S218" s="3">
        <f t="shared" si="53"/>
        <v>358.084</v>
      </c>
      <c r="T218" s="27">
        <f t="shared" si="54"/>
        <v>-1.9159999999999968</v>
      </c>
      <c r="U218" s="17">
        <f t="shared" si="50"/>
        <v>1.512878378378379</v>
      </c>
      <c r="V218" s="27">
        <f t="shared" si="51"/>
        <v>-3.359</v>
      </c>
    </row>
    <row r="219" spans="1:22" s="5" customFormat="1">
      <c r="A219" s="5">
        <v>120</v>
      </c>
      <c r="B219" s="17">
        <f t="shared" si="46"/>
        <v>160</v>
      </c>
      <c r="C219" s="5">
        <v>121.88500000000001</v>
      </c>
      <c r="D219" s="5">
        <v>123.91800000000001</v>
      </c>
      <c r="E219" s="5">
        <f t="shared" si="55"/>
        <v>114.197</v>
      </c>
      <c r="F219" s="25">
        <f>360-(114.177+D219+C219)</f>
        <v>1.999999999998181E-2</v>
      </c>
      <c r="G219" s="30">
        <v>1.347</v>
      </c>
      <c r="H219" s="6" t="s">
        <v>242</v>
      </c>
      <c r="I219" s="6">
        <v>-4.6509999999999998</v>
      </c>
      <c r="J219" s="7">
        <v>177.542</v>
      </c>
      <c r="K219" s="17">
        <v>176.95</v>
      </c>
      <c r="L219" s="3">
        <f t="shared" si="47"/>
        <v>-178.399</v>
      </c>
      <c r="M219" s="3">
        <f t="shared" si="56"/>
        <v>1.6009999999999991</v>
      </c>
      <c r="N219" s="3">
        <f t="shared" si="57"/>
        <v>1.6009999999999991</v>
      </c>
      <c r="O219" s="27">
        <f t="shared" si="58"/>
        <v>1.6009999999999991</v>
      </c>
      <c r="P219" s="17">
        <f t="shared" si="48"/>
        <v>1.0759999999999981</v>
      </c>
      <c r="Q219" s="3">
        <f t="shared" si="49"/>
        <v>-182.19300000000001</v>
      </c>
      <c r="R219" s="3">
        <f t="shared" si="52"/>
        <v>-2.1930000000000121</v>
      </c>
      <c r="S219" s="3">
        <f t="shared" si="53"/>
        <v>357.80700000000002</v>
      </c>
      <c r="T219" s="27">
        <f t="shared" si="54"/>
        <v>-2.1929999999999836</v>
      </c>
      <c r="U219" s="17">
        <f t="shared" si="50"/>
        <v>1.2358783783783922</v>
      </c>
      <c r="V219" s="27">
        <f t="shared" si="51"/>
        <v>-2.754</v>
      </c>
    </row>
    <row r="220" spans="1:22" s="5" customFormat="1">
      <c r="A220" s="5">
        <v>120</v>
      </c>
      <c r="B220" s="17">
        <f t="shared" si="46"/>
        <v>170</v>
      </c>
      <c r="C220" s="5">
        <v>121.91800000000001</v>
      </c>
      <c r="D220" s="5">
        <v>123.803</v>
      </c>
      <c r="E220" s="5">
        <f t="shared" si="55"/>
        <v>114.279</v>
      </c>
      <c r="F220" s="25">
        <f>360-(114.276+D220+C220)</f>
        <v>2.9999999999859028E-3</v>
      </c>
      <c r="G220" s="30">
        <v>1.347</v>
      </c>
      <c r="H220" s="7">
        <v>0.624</v>
      </c>
      <c r="I220" s="7">
        <v>-3.7719999999999998</v>
      </c>
      <c r="J220" s="7">
        <v>179.904</v>
      </c>
      <c r="K220" s="17">
        <v>176.94800000000001</v>
      </c>
      <c r="L220" s="3">
        <f t="shared" si="47"/>
        <v>-179.28</v>
      </c>
      <c r="M220" s="3">
        <f t="shared" si="56"/>
        <v>0.71999999999999886</v>
      </c>
      <c r="N220" s="3">
        <f t="shared" si="57"/>
        <v>0.71999999999999886</v>
      </c>
      <c r="O220" s="27">
        <f t="shared" si="58"/>
        <v>0.71999999999999886</v>
      </c>
      <c r="P220" s="17">
        <f t="shared" si="48"/>
        <v>0.19499999999999784</v>
      </c>
      <c r="Q220" s="3">
        <f t="shared" si="49"/>
        <v>-183.67599999999999</v>
      </c>
      <c r="R220" s="3">
        <f t="shared" si="52"/>
        <v>-3.6759999999999877</v>
      </c>
      <c r="S220" s="3">
        <f t="shared" si="53"/>
        <v>356.32400000000001</v>
      </c>
      <c r="T220" s="27">
        <f t="shared" si="54"/>
        <v>-3.6759999999999877</v>
      </c>
      <c r="U220" s="17">
        <f t="shared" si="50"/>
        <v>-0.24712162162161189</v>
      </c>
      <c r="V220" s="27">
        <f t="shared" si="51"/>
        <v>-1.5739999999999998</v>
      </c>
    </row>
    <row r="221" spans="1:22" s="11" customFormat="1" ht="19" thickBot="1">
      <c r="A221" s="11">
        <v>120</v>
      </c>
      <c r="B221" s="18">
        <f t="shared" si="46"/>
        <v>180</v>
      </c>
      <c r="C221" s="11">
        <v>121.681</v>
      </c>
      <c r="D221" s="11">
        <v>123.94499999999999</v>
      </c>
      <c r="E221" s="11">
        <f t="shared" si="55"/>
        <v>114.37400000000002</v>
      </c>
      <c r="F221" s="26">
        <f>360-(114.371+D221+C221)</f>
        <v>3.0000000000427463E-3</v>
      </c>
      <c r="G221" s="31">
        <v>1.347</v>
      </c>
      <c r="H221" s="13">
        <v>0.27100000000000002</v>
      </c>
      <c r="I221" s="13">
        <v>-1.081</v>
      </c>
      <c r="J221" s="12" t="s">
        <v>208</v>
      </c>
      <c r="K221" s="18">
        <v>178.392</v>
      </c>
      <c r="L221" s="11">
        <f t="shared" si="47"/>
        <v>179.47199999999998</v>
      </c>
      <c r="M221" s="11">
        <f t="shared" si="56"/>
        <v>359.47199999999998</v>
      </c>
      <c r="N221" s="11">
        <f t="shared" si="57"/>
        <v>359.47199999999998</v>
      </c>
      <c r="O221" s="28">
        <f t="shared" si="58"/>
        <v>-0.52800000000002001</v>
      </c>
      <c r="P221" s="18">
        <f t="shared" si="48"/>
        <v>-1.053000000000021</v>
      </c>
      <c r="Q221" s="11">
        <f t="shared" si="49"/>
        <v>178.12</v>
      </c>
      <c r="R221" s="11">
        <f t="shared" si="52"/>
        <v>358.12</v>
      </c>
      <c r="S221" s="11">
        <f t="shared" si="53"/>
        <v>358.12</v>
      </c>
      <c r="T221" s="28">
        <f t="shared" si="54"/>
        <v>-1.8799999999999955</v>
      </c>
      <c r="U221" s="18">
        <f t="shared" si="50"/>
        <v>1.5488783783783804</v>
      </c>
      <c r="V221" s="28">
        <f t="shared" si="51"/>
        <v>-0.40499999999999997</v>
      </c>
    </row>
    <row r="222" spans="1:22" s="5" customFormat="1" ht="19" thickTop="1">
      <c r="A222" s="5">
        <v>150</v>
      </c>
      <c r="B222" s="17">
        <v>-180</v>
      </c>
      <c r="C222" s="5">
        <v>121.081</v>
      </c>
      <c r="D222" s="5">
        <v>123.95399999999999</v>
      </c>
      <c r="E222" s="5">
        <f t="shared" si="55"/>
        <v>114.965</v>
      </c>
      <c r="F222" s="25">
        <f>360-(114.964+D222+C222)</f>
        <v>9.9999999997635314E-4</v>
      </c>
      <c r="G222" s="30">
        <v>1.343</v>
      </c>
      <c r="H222" s="7">
        <v>1.829</v>
      </c>
      <c r="I222" s="7">
        <v>-2.1579999999999999</v>
      </c>
      <c r="J222" s="6" t="s">
        <v>10</v>
      </c>
      <c r="K222" s="17">
        <v>177.45099999999999</v>
      </c>
      <c r="L222" s="3">
        <f t="shared" si="47"/>
        <v>179.608</v>
      </c>
      <c r="M222" s="3">
        <f t="shared" si="56"/>
        <v>359.608</v>
      </c>
      <c r="N222" s="3">
        <f t="shared" si="57"/>
        <v>359.608</v>
      </c>
      <c r="O222" s="27">
        <f t="shared" si="58"/>
        <v>-0.39199999999999591</v>
      </c>
      <c r="P222" s="17">
        <f t="shared" si="48"/>
        <v>-0.91699999999999693</v>
      </c>
      <c r="Q222" s="3">
        <f t="shared" si="49"/>
        <v>175.62100000000001</v>
      </c>
      <c r="R222" s="3">
        <f t="shared" si="52"/>
        <v>355.62099999999998</v>
      </c>
      <c r="S222" s="3">
        <f t="shared" si="53"/>
        <v>355.62099999999998</v>
      </c>
      <c r="T222" s="27">
        <f t="shared" si="54"/>
        <v>-4.3790000000000191</v>
      </c>
      <c r="U222" s="17">
        <f t="shared" si="50"/>
        <v>-0.95012162162164326</v>
      </c>
      <c r="V222" s="27">
        <f t="shared" si="51"/>
        <v>-0.16449999999999998</v>
      </c>
    </row>
    <row r="223" spans="1:22" s="5" customFormat="1">
      <c r="A223" s="5">
        <v>150</v>
      </c>
      <c r="B223" s="17">
        <f t="shared" ref="B223:B238" si="59">B222+10</f>
        <v>-170</v>
      </c>
      <c r="C223" s="5">
        <v>120.92100000000001</v>
      </c>
      <c r="D223" s="5">
        <v>124.18</v>
      </c>
      <c r="E223" s="5">
        <f t="shared" si="55"/>
        <v>114.899</v>
      </c>
      <c r="F223" s="25">
        <f>360-(114.893+D223+C223)</f>
        <v>5.9999999999718057E-3</v>
      </c>
      <c r="G223" s="30">
        <v>1.3440000000000001</v>
      </c>
      <c r="H223" s="7">
        <v>3.3079999999999998</v>
      </c>
      <c r="I223" s="7">
        <v>-0.222</v>
      </c>
      <c r="J223" s="6" t="s">
        <v>41</v>
      </c>
      <c r="K223" s="17">
        <v>178.876</v>
      </c>
      <c r="L223" s="3">
        <f t="shared" si="47"/>
        <v>179.09799999999998</v>
      </c>
      <c r="M223" s="3">
        <f t="shared" si="56"/>
        <v>359.09799999999996</v>
      </c>
      <c r="N223" s="3">
        <f t="shared" si="57"/>
        <v>359.09799999999996</v>
      </c>
      <c r="O223" s="27">
        <f t="shared" si="58"/>
        <v>-0.90200000000004366</v>
      </c>
      <c r="P223" s="17">
        <f t="shared" si="48"/>
        <v>-1.4270000000000447</v>
      </c>
      <c r="Q223" s="3">
        <f t="shared" si="49"/>
        <v>175.56799999999998</v>
      </c>
      <c r="R223" s="3">
        <f t="shared" si="52"/>
        <v>355.56799999999998</v>
      </c>
      <c r="S223" s="3">
        <f t="shared" si="53"/>
        <v>355.56799999999998</v>
      </c>
      <c r="T223" s="27">
        <f t="shared" si="54"/>
        <v>-4.4320000000000164</v>
      </c>
      <c r="U223" s="17">
        <f t="shared" si="50"/>
        <v>-1.0031216216216405</v>
      </c>
      <c r="V223" s="27">
        <f t="shared" si="51"/>
        <v>1.5429999999999999</v>
      </c>
    </row>
    <row r="224" spans="1:22" s="5" customFormat="1">
      <c r="A224" s="5">
        <v>150</v>
      </c>
      <c r="B224" s="17">
        <f t="shared" si="59"/>
        <v>-160</v>
      </c>
      <c r="C224" s="5">
        <v>120.664</v>
      </c>
      <c r="D224" s="5">
        <v>124.15300000000001</v>
      </c>
      <c r="E224" s="5">
        <f t="shared" si="55"/>
        <v>115.18299999999999</v>
      </c>
      <c r="F224" s="25">
        <f>360-(115.179+D224+C224)</f>
        <v>4.0000000000190994E-3</v>
      </c>
      <c r="G224" s="30">
        <v>1.3440000000000001</v>
      </c>
      <c r="H224" s="7">
        <v>4.4139999999999997</v>
      </c>
      <c r="I224" s="7">
        <v>-0.14599999999999999</v>
      </c>
      <c r="J224" s="6" t="s">
        <v>40</v>
      </c>
      <c r="K224" s="17">
        <v>179.10900000000001</v>
      </c>
      <c r="L224" s="3">
        <f t="shared" si="47"/>
        <v>179.255</v>
      </c>
      <c r="M224" s="3">
        <f t="shared" si="56"/>
        <v>359.255</v>
      </c>
      <c r="N224" s="3">
        <f t="shared" si="57"/>
        <v>359.255</v>
      </c>
      <c r="O224" s="27">
        <f t="shared" si="58"/>
        <v>-0.74500000000000455</v>
      </c>
      <c r="P224" s="17">
        <f t="shared" si="48"/>
        <v>-1.2700000000000056</v>
      </c>
      <c r="Q224" s="3">
        <f t="shared" si="49"/>
        <v>174.69500000000002</v>
      </c>
      <c r="R224" s="3">
        <f t="shared" si="52"/>
        <v>354.69500000000005</v>
      </c>
      <c r="S224" s="3">
        <f t="shared" si="53"/>
        <v>354.69500000000005</v>
      </c>
      <c r="T224" s="27">
        <f t="shared" si="54"/>
        <v>-5.30499999999995</v>
      </c>
      <c r="U224" s="17">
        <f t="shared" si="50"/>
        <v>-1.8761216216215741</v>
      </c>
      <c r="V224" s="27">
        <f t="shared" si="51"/>
        <v>2.1339999999999999</v>
      </c>
    </row>
    <row r="225" spans="1:22" s="5" customFormat="1">
      <c r="A225" s="5">
        <v>150</v>
      </c>
      <c r="B225" s="17">
        <f t="shared" si="59"/>
        <v>-150</v>
      </c>
      <c r="C225" s="5">
        <v>120.346</v>
      </c>
      <c r="D225" s="5">
        <v>124.099</v>
      </c>
      <c r="E225" s="5">
        <f t="shared" si="55"/>
        <v>115.55500000000001</v>
      </c>
      <c r="F225" s="25">
        <f>360-(115.554+D225+C225)</f>
        <v>9.9999999997635314E-4</v>
      </c>
      <c r="G225" s="30">
        <v>1.343</v>
      </c>
      <c r="H225" s="7">
        <v>5.2149999999999999</v>
      </c>
      <c r="I225" s="7">
        <v>-0.41</v>
      </c>
      <c r="J225" s="6" t="s">
        <v>39</v>
      </c>
      <c r="K225" s="17">
        <v>179.26900000000001</v>
      </c>
      <c r="L225" s="3">
        <f t="shared" si="47"/>
        <v>179.679</v>
      </c>
      <c r="M225" s="3">
        <f t="shared" si="56"/>
        <v>359.67899999999997</v>
      </c>
      <c r="N225" s="3">
        <f t="shared" si="57"/>
        <v>359.67899999999997</v>
      </c>
      <c r="O225" s="27">
        <f t="shared" si="58"/>
        <v>-0.32100000000002638</v>
      </c>
      <c r="P225" s="17">
        <f t="shared" si="48"/>
        <v>-0.8460000000000274</v>
      </c>
      <c r="Q225" s="3">
        <f t="shared" si="49"/>
        <v>174.054</v>
      </c>
      <c r="R225" s="3">
        <f t="shared" si="52"/>
        <v>354.05399999999997</v>
      </c>
      <c r="S225" s="3">
        <f t="shared" si="53"/>
        <v>354.05399999999997</v>
      </c>
      <c r="T225" s="27">
        <f t="shared" si="54"/>
        <v>-5.9460000000000264</v>
      </c>
      <c r="U225" s="17">
        <f t="shared" si="50"/>
        <v>-2.5171216216216505</v>
      </c>
      <c r="V225" s="27">
        <f t="shared" si="51"/>
        <v>2.4024999999999999</v>
      </c>
    </row>
    <row r="226" spans="1:22" s="5" customFormat="1">
      <c r="A226" s="5">
        <v>150</v>
      </c>
      <c r="B226" s="17">
        <f t="shared" si="59"/>
        <v>-140</v>
      </c>
      <c r="C226" s="5">
        <v>120.057</v>
      </c>
      <c r="D226" s="5">
        <v>124.07899999999999</v>
      </c>
      <c r="E226" s="5">
        <f t="shared" si="55"/>
        <v>115.864</v>
      </c>
      <c r="F226" s="25">
        <f>360-(115.862+D226+C226)</f>
        <v>2.0000000000095497E-3</v>
      </c>
      <c r="G226" s="30">
        <v>1.3440000000000001</v>
      </c>
      <c r="H226" s="7">
        <v>5.343</v>
      </c>
      <c r="I226" s="7">
        <v>-1.27</v>
      </c>
      <c r="J226" s="6" t="s">
        <v>38</v>
      </c>
      <c r="K226" s="17">
        <v>179.167</v>
      </c>
      <c r="L226" s="3">
        <f t="shared" si="47"/>
        <v>180.43599999999998</v>
      </c>
      <c r="M226" s="3">
        <f t="shared" si="56"/>
        <v>360.43599999999998</v>
      </c>
      <c r="N226" s="3">
        <f t="shared" si="57"/>
        <v>0.43599999999997863</v>
      </c>
      <c r="O226" s="27">
        <f t="shared" si="58"/>
        <v>0.43599999999997863</v>
      </c>
      <c r="P226" s="17">
        <f t="shared" si="48"/>
        <v>-8.9000000000022395E-2</v>
      </c>
      <c r="Q226" s="3">
        <f t="shared" si="49"/>
        <v>173.82299999999998</v>
      </c>
      <c r="R226" s="3">
        <f t="shared" si="52"/>
        <v>353.82299999999998</v>
      </c>
      <c r="S226" s="3">
        <f t="shared" si="53"/>
        <v>353.82299999999998</v>
      </c>
      <c r="T226" s="27">
        <f t="shared" si="54"/>
        <v>-6.1770000000000209</v>
      </c>
      <c r="U226" s="17">
        <f t="shared" si="50"/>
        <v>-2.7481216216216451</v>
      </c>
      <c r="V226" s="27">
        <f t="shared" si="51"/>
        <v>2.0365000000000002</v>
      </c>
    </row>
    <row r="227" spans="1:22" s="5" customFormat="1">
      <c r="A227" s="5">
        <v>150</v>
      </c>
      <c r="B227" s="17">
        <f t="shared" si="59"/>
        <v>-130</v>
      </c>
      <c r="C227" s="5">
        <v>119.785</v>
      </c>
      <c r="D227" s="5">
        <v>124.09</v>
      </c>
      <c r="E227" s="5">
        <f t="shared" si="55"/>
        <v>116.125</v>
      </c>
      <c r="F227" s="25">
        <f>360-(116.113+D227+C227)</f>
        <v>1.2000000000000455E-2</v>
      </c>
      <c r="G227" s="30">
        <v>1.3440000000000001</v>
      </c>
      <c r="H227" s="7">
        <v>4.9630000000000001</v>
      </c>
      <c r="I227" s="7">
        <v>-2.141</v>
      </c>
      <c r="J227" s="6" t="s">
        <v>37</v>
      </c>
      <c r="K227" s="17">
        <v>179.15799999999999</v>
      </c>
      <c r="L227" s="3">
        <f t="shared" si="47"/>
        <v>181.298</v>
      </c>
      <c r="M227" s="3">
        <f t="shared" si="56"/>
        <v>361.298</v>
      </c>
      <c r="N227" s="3">
        <f t="shared" si="57"/>
        <v>1.2980000000000018</v>
      </c>
      <c r="O227" s="27">
        <f t="shared" si="58"/>
        <v>1.2980000000000018</v>
      </c>
      <c r="P227" s="17">
        <f t="shared" si="48"/>
        <v>0.7730000000000008</v>
      </c>
      <c r="Q227" s="3">
        <f t="shared" si="49"/>
        <v>174.19400000000002</v>
      </c>
      <c r="R227" s="3">
        <f t="shared" si="52"/>
        <v>354.19400000000002</v>
      </c>
      <c r="S227" s="3">
        <f t="shared" si="53"/>
        <v>354.19400000000002</v>
      </c>
      <c r="T227" s="27">
        <f t="shared" si="54"/>
        <v>-5.8059999999999832</v>
      </c>
      <c r="U227" s="17">
        <f t="shared" si="50"/>
        <v>-2.3771216216216073</v>
      </c>
      <c r="V227" s="27">
        <f t="shared" si="51"/>
        <v>1.411</v>
      </c>
    </row>
    <row r="228" spans="1:22" s="5" customFormat="1">
      <c r="A228" s="5">
        <v>150</v>
      </c>
      <c r="B228" s="17">
        <f t="shared" si="59"/>
        <v>-120</v>
      </c>
      <c r="C228" s="5">
        <v>119.745</v>
      </c>
      <c r="D228" s="5">
        <v>124.008</v>
      </c>
      <c r="E228" s="5">
        <f t="shared" si="55"/>
        <v>116.24700000000001</v>
      </c>
      <c r="F228" s="25">
        <f>360-(116.21+D228+C228)</f>
        <v>3.7000000000034561E-2</v>
      </c>
      <c r="G228" s="30">
        <v>1.3440000000000001</v>
      </c>
      <c r="H228" s="7">
        <v>3.895</v>
      </c>
      <c r="I228" s="7">
        <v>-3.6150000000000002</v>
      </c>
      <c r="J228" s="6" t="s">
        <v>36</v>
      </c>
      <c r="K228" s="17">
        <v>178.62799999999999</v>
      </c>
      <c r="L228" s="3">
        <f t="shared" si="47"/>
        <v>182.24300000000002</v>
      </c>
      <c r="M228" s="3">
        <f t="shared" si="56"/>
        <v>362.24300000000005</v>
      </c>
      <c r="N228" s="3">
        <f t="shared" si="57"/>
        <v>2.2430000000000518</v>
      </c>
      <c r="O228" s="27">
        <f t="shared" si="58"/>
        <v>2.2430000000000518</v>
      </c>
      <c r="P228" s="17">
        <f t="shared" si="48"/>
        <v>1.7180000000000508</v>
      </c>
      <c r="Q228" s="3">
        <f t="shared" si="49"/>
        <v>174.733</v>
      </c>
      <c r="R228" s="3">
        <f t="shared" si="52"/>
        <v>354.733</v>
      </c>
      <c r="S228" s="3">
        <f t="shared" si="53"/>
        <v>354.733</v>
      </c>
      <c r="T228" s="27">
        <f t="shared" si="54"/>
        <v>-5.2669999999999959</v>
      </c>
      <c r="U228" s="17">
        <f t="shared" si="50"/>
        <v>-1.8381216216216201</v>
      </c>
      <c r="V228" s="27">
        <f t="shared" si="51"/>
        <v>0.1399999999999999</v>
      </c>
    </row>
    <row r="229" spans="1:22" s="5" customFormat="1">
      <c r="A229" s="5">
        <v>150</v>
      </c>
      <c r="B229" s="17">
        <f t="shared" si="59"/>
        <v>-110</v>
      </c>
      <c r="C229" s="5">
        <v>119.863</v>
      </c>
      <c r="D229" s="5">
        <v>124.023</v>
      </c>
      <c r="E229" s="5">
        <f t="shared" si="55"/>
        <v>116.114</v>
      </c>
      <c r="F229" s="25">
        <f>360-(116.06+D229+C229)</f>
        <v>5.3999999999973625E-2</v>
      </c>
      <c r="G229" s="30">
        <v>1.345</v>
      </c>
      <c r="H229" s="7">
        <v>3.0030000000000001</v>
      </c>
      <c r="I229" s="7">
        <v>-4.03</v>
      </c>
      <c r="J229" s="6" t="s">
        <v>35</v>
      </c>
      <c r="K229" s="17">
        <v>178.65100000000001</v>
      </c>
      <c r="L229" s="3">
        <f t="shared" si="47"/>
        <v>182.68099999999998</v>
      </c>
      <c r="M229" s="3">
        <f t="shared" si="56"/>
        <v>362.68099999999998</v>
      </c>
      <c r="N229" s="3">
        <f t="shared" si="57"/>
        <v>2.6809999999999832</v>
      </c>
      <c r="O229" s="27">
        <f t="shared" si="58"/>
        <v>2.6809999999999832</v>
      </c>
      <c r="P229" s="17">
        <f t="shared" si="48"/>
        <v>2.1559999999999819</v>
      </c>
      <c r="Q229" s="3">
        <f t="shared" si="49"/>
        <v>175.648</v>
      </c>
      <c r="R229" s="3">
        <f t="shared" si="52"/>
        <v>355.64800000000002</v>
      </c>
      <c r="S229" s="3">
        <f t="shared" si="53"/>
        <v>355.64800000000002</v>
      </c>
      <c r="T229" s="27">
        <f t="shared" si="54"/>
        <v>-4.3519999999999754</v>
      </c>
      <c r="U229" s="17">
        <f t="shared" si="50"/>
        <v>-0.92312162162159961</v>
      </c>
      <c r="V229" s="27">
        <f t="shared" si="51"/>
        <v>-0.51350000000000007</v>
      </c>
    </row>
    <row r="230" spans="1:22" s="5" customFormat="1">
      <c r="A230" s="5">
        <v>150</v>
      </c>
      <c r="B230" s="17">
        <f t="shared" si="59"/>
        <v>-100</v>
      </c>
      <c r="C230" s="5">
        <v>120.18300000000001</v>
      </c>
      <c r="D230" s="5">
        <v>123.941</v>
      </c>
      <c r="E230" s="5">
        <f t="shared" si="55"/>
        <v>115.87599999999998</v>
      </c>
      <c r="F230" s="25">
        <f>360-(115.813+D230+C230)</f>
        <v>6.2999999999988177E-2</v>
      </c>
      <c r="G230" s="30">
        <v>1.345</v>
      </c>
      <c r="H230" s="7">
        <v>1.3660000000000001</v>
      </c>
      <c r="I230" s="7">
        <v>-4.5990000000000002</v>
      </c>
      <c r="J230" s="7">
        <v>178.47200000000001</v>
      </c>
      <c r="K230" s="17">
        <v>178.29599999999999</v>
      </c>
      <c r="L230" s="3">
        <f t="shared" si="47"/>
        <v>-177.10599999999999</v>
      </c>
      <c r="M230" s="3">
        <f t="shared" si="56"/>
        <v>2.8940000000000055</v>
      </c>
      <c r="N230" s="3">
        <f t="shared" si="57"/>
        <v>2.8940000000000055</v>
      </c>
      <c r="O230" s="27">
        <f t="shared" si="58"/>
        <v>2.8940000000000055</v>
      </c>
      <c r="P230" s="17">
        <f t="shared" si="48"/>
        <v>2.3690000000000042</v>
      </c>
      <c r="Q230" s="3">
        <f t="shared" si="49"/>
        <v>-183.071</v>
      </c>
      <c r="R230" s="3">
        <f t="shared" si="52"/>
        <v>-3.070999999999998</v>
      </c>
      <c r="S230" s="3">
        <f t="shared" si="53"/>
        <v>356.92899999999997</v>
      </c>
      <c r="T230" s="27">
        <f t="shared" si="54"/>
        <v>-3.0710000000000264</v>
      </c>
      <c r="U230" s="17">
        <f t="shared" si="50"/>
        <v>0.35787837837834946</v>
      </c>
      <c r="V230" s="27">
        <f t="shared" si="51"/>
        <v>-1.6165</v>
      </c>
    </row>
    <row r="231" spans="1:22" s="5" customFormat="1">
      <c r="A231" s="5">
        <v>150</v>
      </c>
      <c r="B231" s="17">
        <f t="shared" si="59"/>
        <v>-90</v>
      </c>
      <c r="C231" s="5">
        <v>120.512</v>
      </c>
      <c r="D231" s="5">
        <v>123.863</v>
      </c>
      <c r="E231" s="5">
        <f t="shared" si="55"/>
        <v>115.625</v>
      </c>
      <c r="F231" s="25">
        <f>360-(115.581+D231+C231)</f>
        <v>4.399999999998272E-2</v>
      </c>
      <c r="G231" s="30">
        <v>1.3460000000000001</v>
      </c>
      <c r="H231" s="7">
        <v>0.34699999999999998</v>
      </c>
      <c r="I231" s="7">
        <v>-4.2539999999999996</v>
      </c>
      <c r="J231" s="7">
        <v>177.958</v>
      </c>
      <c r="K231" s="17">
        <v>178.13499999999999</v>
      </c>
      <c r="L231" s="3">
        <f t="shared" si="47"/>
        <v>-177.61099999999999</v>
      </c>
      <c r="M231" s="3">
        <f t="shared" si="56"/>
        <v>2.38900000000001</v>
      </c>
      <c r="N231" s="3">
        <f t="shared" si="57"/>
        <v>2.38900000000001</v>
      </c>
      <c r="O231" s="27">
        <f t="shared" si="58"/>
        <v>2.38900000000001</v>
      </c>
      <c r="P231" s="17">
        <f t="shared" si="48"/>
        <v>1.864000000000009</v>
      </c>
      <c r="Q231" s="3">
        <f t="shared" si="49"/>
        <v>-182.21199999999999</v>
      </c>
      <c r="R231" s="3">
        <f t="shared" si="52"/>
        <v>-2.2119999999999891</v>
      </c>
      <c r="S231" s="3">
        <f t="shared" si="53"/>
        <v>357.78800000000001</v>
      </c>
      <c r="T231" s="27">
        <f t="shared" si="54"/>
        <v>-2.2119999999999891</v>
      </c>
      <c r="U231" s="17">
        <f t="shared" si="50"/>
        <v>1.2168783783783867</v>
      </c>
      <c r="V231" s="27">
        <f t="shared" si="51"/>
        <v>-1.9534999999999998</v>
      </c>
    </row>
    <row r="232" spans="1:22" s="5" customFormat="1">
      <c r="A232" s="5">
        <v>150</v>
      </c>
      <c r="B232" s="17">
        <f t="shared" si="59"/>
        <v>-80</v>
      </c>
      <c r="C232" s="5">
        <v>120.75</v>
      </c>
      <c r="D232" s="5">
        <v>123.834</v>
      </c>
      <c r="E232" s="5">
        <f t="shared" si="55"/>
        <v>115.416</v>
      </c>
      <c r="F232" s="25">
        <f>360-(115.403+D232+C232)</f>
        <v>1.2999999999976808E-2</v>
      </c>
      <c r="G232" s="30">
        <v>1.3460000000000001</v>
      </c>
      <c r="H232" s="6" t="s">
        <v>34</v>
      </c>
      <c r="I232" s="6">
        <v>-2.9929999999999999</v>
      </c>
      <c r="J232" s="7">
        <v>177.99299999999999</v>
      </c>
      <c r="K232" s="17">
        <v>178.30199999999999</v>
      </c>
      <c r="L232" s="3">
        <f t="shared" si="47"/>
        <v>-178.70499999999998</v>
      </c>
      <c r="M232" s="3">
        <f t="shared" si="56"/>
        <v>1.2950000000000159</v>
      </c>
      <c r="N232" s="3">
        <f t="shared" si="57"/>
        <v>1.2950000000000159</v>
      </c>
      <c r="O232" s="27">
        <f t="shared" si="58"/>
        <v>1.2950000000000159</v>
      </c>
      <c r="P232" s="17">
        <f t="shared" si="48"/>
        <v>0.77000000000001489</v>
      </c>
      <c r="Q232" s="3">
        <f t="shared" si="49"/>
        <v>-180.98599999999999</v>
      </c>
      <c r="R232" s="3">
        <f t="shared" si="52"/>
        <v>-0.98599999999999</v>
      </c>
      <c r="S232" s="3">
        <f t="shared" si="53"/>
        <v>359.01400000000001</v>
      </c>
      <c r="T232" s="27">
        <f t="shared" si="54"/>
        <v>-0.98599999999999</v>
      </c>
      <c r="U232" s="17">
        <f t="shared" si="50"/>
        <v>2.4428783783783858</v>
      </c>
      <c r="V232" s="27">
        <f t="shared" si="51"/>
        <v>-1.8525</v>
      </c>
    </row>
    <row r="233" spans="1:22" s="5" customFormat="1">
      <c r="A233" s="5">
        <v>150</v>
      </c>
      <c r="B233" s="17">
        <f t="shared" si="59"/>
        <v>-70</v>
      </c>
      <c r="C233" s="5">
        <v>120.886</v>
      </c>
      <c r="D233" s="5">
        <v>123.741</v>
      </c>
      <c r="E233" s="5">
        <f t="shared" si="55"/>
        <v>115.37299999999999</v>
      </c>
      <c r="F233" s="25">
        <f>360-(115.373+D233+C233)</f>
        <v>0</v>
      </c>
      <c r="G233" s="30">
        <v>1.3460000000000001</v>
      </c>
      <c r="H233" s="6" t="s">
        <v>33</v>
      </c>
      <c r="I233" s="6">
        <v>-1.3169999999999999</v>
      </c>
      <c r="J233" s="7">
        <v>178.97499999999999</v>
      </c>
      <c r="K233" s="17">
        <v>178.63200000000001</v>
      </c>
      <c r="L233" s="3">
        <f t="shared" si="47"/>
        <v>-180.05099999999999</v>
      </c>
      <c r="M233" s="3">
        <f t="shared" si="56"/>
        <v>-5.0999999999987722E-2</v>
      </c>
      <c r="N233" s="3">
        <f t="shared" si="57"/>
        <v>359.94900000000001</v>
      </c>
      <c r="O233" s="27">
        <f t="shared" si="58"/>
        <v>-5.0999999999987722E-2</v>
      </c>
      <c r="P233" s="17">
        <f t="shared" si="48"/>
        <v>-0.57599999999998874</v>
      </c>
      <c r="Q233" s="3">
        <f t="shared" si="49"/>
        <v>-180.292</v>
      </c>
      <c r="R233" s="3">
        <f t="shared" si="52"/>
        <v>-0.29200000000000159</v>
      </c>
      <c r="S233" s="3">
        <f t="shared" si="53"/>
        <v>359.70799999999997</v>
      </c>
      <c r="T233" s="27">
        <f t="shared" si="54"/>
        <v>-0.29200000000003001</v>
      </c>
      <c r="U233" s="17">
        <f t="shared" si="50"/>
        <v>3.1368783783783458</v>
      </c>
      <c r="V233" s="27">
        <f t="shared" si="51"/>
        <v>-1.1964999999999999</v>
      </c>
    </row>
    <row r="234" spans="1:22" s="5" customFormat="1">
      <c r="A234" s="5">
        <v>150</v>
      </c>
      <c r="B234" s="17">
        <f t="shared" si="59"/>
        <v>-60</v>
      </c>
      <c r="C234" s="5">
        <v>120.688</v>
      </c>
      <c r="D234" s="5">
        <v>123.989</v>
      </c>
      <c r="E234" s="5">
        <f t="shared" si="55"/>
        <v>115.32299999999998</v>
      </c>
      <c r="F234" s="25">
        <f>360-(115.295+D234+C234)</f>
        <v>2.8000000000020009E-2</v>
      </c>
      <c r="G234" s="30">
        <v>1.3460000000000001</v>
      </c>
      <c r="H234" s="6" t="s">
        <v>32</v>
      </c>
      <c r="I234" s="6">
        <v>1.8660000000000001</v>
      </c>
      <c r="J234" s="6" t="s">
        <v>31</v>
      </c>
      <c r="K234" s="17">
        <v>179.95500000000001</v>
      </c>
      <c r="L234" s="3">
        <f t="shared" si="47"/>
        <v>178.089</v>
      </c>
      <c r="M234" s="3">
        <f t="shared" si="56"/>
        <v>358.089</v>
      </c>
      <c r="N234" s="3">
        <f t="shared" si="57"/>
        <v>358.089</v>
      </c>
      <c r="O234" s="27">
        <f t="shared" si="58"/>
        <v>-1.9110000000000014</v>
      </c>
      <c r="P234" s="17">
        <f t="shared" si="48"/>
        <v>-2.4360000000000026</v>
      </c>
      <c r="Q234" s="3">
        <f t="shared" si="49"/>
        <v>181.59800000000001</v>
      </c>
      <c r="R234" s="3">
        <f t="shared" si="52"/>
        <v>361.59800000000001</v>
      </c>
      <c r="S234" s="3">
        <f t="shared" si="53"/>
        <v>1.5980000000000132</v>
      </c>
      <c r="T234" s="27">
        <f t="shared" si="54"/>
        <v>1.5980000000000132</v>
      </c>
      <c r="U234" s="17">
        <f t="shared" si="50"/>
        <v>5.026878378378389</v>
      </c>
      <c r="V234" s="27">
        <f t="shared" si="51"/>
        <v>0.11150000000000004</v>
      </c>
    </row>
    <row r="235" spans="1:22" s="5" customFormat="1">
      <c r="A235" s="5">
        <v>150</v>
      </c>
      <c r="B235" s="17">
        <f t="shared" si="59"/>
        <v>-50</v>
      </c>
      <c r="C235" s="5">
        <v>120.417</v>
      </c>
      <c r="D235" s="5">
        <v>123.968</v>
      </c>
      <c r="E235" s="5">
        <f t="shared" si="55"/>
        <v>115.61500000000001</v>
      </c>
      <c r="F235" s="25">
        <f>360-(115.564+D235+C235)</f>
        <v>5.1000000000044565E-2</v>
      </c>
      <c r="G235" s="30">
        <v>1.3460000000000001</v>
      </c>
      <c r="H235" s="6" t="s">
        <v>30</v>
      </c>
      <c r="I235" s="6">
        <v>2.448</v>
      </c>
      <c r="J235" s="6" t="s">
        <v>29</v>
      </c>
      <c r="K235" s="17">
        <v>179.84700000000001</v>
      </c>
      <c r="L235" s="3">
        <f t="shared" si="47"/>
        <v>177.398</v>
      </c>
      <c r="M235" s="3">
        <f t="shared" si="56"/>
        <v>357.39800000000002</v>
      </c>
      <c r="N235" s="3">
        <f t="shared" si="57"/>
        <v>357.39800000000002</v>
      </c>
      <c r="O235" s="27">
        <f t="shared" si="58"/>
        <v>-2.6019999999999754</v>
      </c>
      <c r="P235" s="17">
        <f t="shared" si="48"/>
        <v>-3.1269999999999767</v>
      </c>
      <c r="Q235" s="3">
        <f t="shared" si="49"/>
        <v>181.077</v>
      </c>
      <c r="R235" s="3">
        <f t="shared" si="52"/>
        <v>361.077</v>
      </c>
      <c r="S235" s="3">
        <f t="shared" si="53"/>
        <v>1.0769999999999982</v>
      </c>
      <c r="T235" s="27">
        <f t="shared" si="54"/>
        <v>1.0769999999999982</v>
      </c>
      <c r="U235" s="17">
        <f t="shared" si="50"/>
        <v>4.505878378378374</v>
      </c>
      <c r="V235" s="27">
        <f t="shared" si="51"/>
        <v>0.60849999999999993</v>
      </c>
    </row>
    <row r="236" spans="1:22" s="5" customFormat="1">
      <c r="A236" s="5">
        <v>150</v>
      </c>
      <c r="B236" s="17">
        <f t="shared" si="59"/>
        <v>-40</v>
      </c>
      <c r="C236" s="5">
        <v>120.048</v>
      </c>
      <c r="D236" s="5">
        <v>123.985</v>
      </c>
      <c r="E236" s="5">
        <f t="shared" si="55"/>
        <v>115.96699999999998</v>
      </c>
      <c r="F236" s="25">
        <f>360-(115.917+D236+C236)</f>
        <v>5.0000000000011369E-2</v>
      </c>
      <c r="G236" s="30">
        <v>1.3420000000000001</v>
      </c>
      <c r="H236" s="7">
        <v>1.92</v>
      </c>
      <c r="I236" s="7">
        <v>-2.077</v>
      </c>
      <c r="J236" s="6" t="s">
        <v>28</v>
      </c>
      <c r="K236" s="17">
        <v>178.83799999999999</v>
      </c>
      <c r="L236" s="3">
        <f t="shared" si="47"/>
        <v>180.50299999999999</v>
      </c>
      <c r="M236" s="3">
        <f t="shared" si="56"/>
        <v>360.50299999999999</v>
      </c>
      <c r="N236" s="3">
        <f t="shared" si="57"/>
        <v>0.5029999999999859</v>
      </c>
      <c r="O236" s="27">
        <f t="shared" si="58"/>
        <v>0.5029999999999859</v>
      </c>
      <c r="P236" s="17">
        <f t="shared" si="48"/>
        <v>-2.2000000000015119E-2</v>
      </c>
      <c r="Q236" s="3">
        <f t="shared" si="49"/>
        <v>176.506</v>
      </c>
      <c r="R236" s="3">
        <f t="shared" si="52"/>
        <v>356.50599999999997</v>
      </c>
      <c r="S236" s="3">
        <f t="shared" si="53"/>
        <v>356.50599999999997</v>
      </c>
      <c r="T236" s="27">
        <f t="shared" si="54"/>
        <v>-3.4940000000000282</v>
      </c>
      <c r="U236" s="17">
        <f t="shared" si="50"/>
        <v>-6.5121621621652359E-2</v>
      </c>
      <c r="V236" s="27">
        <f t="shared" si="51"/>
        <v>-7.8500000000000014E-2</v>
      </c>
    </row>
    <row r="237" spans="1:22" s="5" customFormat="1">
      <c r="A237" s="5">
        <v>150</v>
      </c>
      <c r="B237" s="17">
        <f t="shared" si="59"/>
        <v>-30</v>
      </c>
      <c r="C237" s="5">
        <v>119.499</v>
      </c>
      <c r="D237" s="5">
        <v>124.18</v>
      </c>
      <c r="E237" s="5">
        <f t="shared" si="55"/>
        <v>116.321</v>
      </c>
      <c r="F237" s="25">
        <f>360-(116.283+D237+C237)</f>
        <v>3.8000000000010914E-2</v>
      </c>
      <c r="G237" s="30">
        <v>1.345</v>
      </c>
      <c r="H237" s="7">
        <v>1.542</v>
      </c>
      <c r="I237" s="7">
        <v>-0.10299999999999999</v>
      </c>
      <c r="J237" s="6" t="s">
        <v>27</v>
      </c>
      <c r="K237" s="17">
        <v>177.66399999999999</v>
      </c>
      <c r="L237" s="3">
        <f t="shared" si="47"/>
        <v>177.768</v>
      </c>
      <c r="M237" s="3">
        <f t="shared" si="56"/>
        <v>357.76800000000003</v>
      </c>
      <c r="N237" s="3">
        <f t="shared" si="57"/>
        <v>357.76800000000003</v>
      </c>
      <c r="O237" s="27">
        <f t="shared" si="58"/>
        <v>-2.2319999999999709</v>
      </c>
      <c r="P237" s="17">
        <f t="shared" si="48"/>
        <v>-2.7569999999999721</v>
      </c>
      <c r="Q237" s="3">
        <f t="shared" si="49"/>
        <v>176.12299999999999</v>
      </c>
      <c r="R237" s="3">
        <f t="shared" si="52"/>
        <v>356.12299999999999</v>
      </c>
      <c r="S237" s="3">
        <f t="shared" si="53"/>
        <v>356.12299999999999</v>
      </c>
      <c r="T237" s="27">
        <f t="shared" si="54"/>
        <v>-3.8770000000000095</v>
      </c>
      <c r="U237" s="17">
        <f t="shared" si="50"/>
        <v>-0.44812162162163371</v>
      </c>
      <c r="V237" s="27">
        <f t="shared" si="51"/>
        <v>0.71950000000000003</v>
      </c>
    </row>
    <row r="238" spans="1:22" s="5" customFormat="1">
      <c r="A238" s="5">
        <v>150</v>
      </c>
      <c r="B238" s="17">
        <f t="shared" si="59"/>
        <v>-20</v>
      </c>
      <c r="C238" s="5">
        <v>119.111</v>
      </c>
      <c r="D238" s="5">
        <v>124.083</v>
      </c>
      <c r="E238" s="5">
        <f t="shared" si="55"/>
        <v>116.80599999999998</v>
      </c>
      <c r="F238" s="25">
        <f>360-(116.802+D238+C238)</f>
        <v>4.0000000000190994E-3</v>
      </c>
      <c r="G238" s="30">
        <v>1.345</v>
      </c>
      <c r="H238" s="7">
        <v>2.9279999999999999</v>
      </c>
      <c r="I238" s="7">
        <v>-3.8410000000000002</v>
      </c>
      <c r="J238" s="6" t="s">
        <v>26</v>
      </c>
      <c r="K238" s="17">
        <v>175.37700000000001</v>
      </c>
      <c r="L238" s="3">
        <f t="shared" si="47"/>
        <v>179.21699999999998</v>
      </c>
      <c r="M238" s="3">
        <f t="shared" si="56"/>
        <v>359.21699999999998</v>
      </c>
      <c r="N238" s="3">
        <f t="shared" si="57"/>
        <v>359.21699999999998</v>
      </c>
      <c r="O238" s="27">
        <f t="shared" si="58"/>
        <v>-0.78300000000001546</v>
      </c>
      <c r="P238" s="17">
        <f t="shared" si="48"/>
        <v>-1.3080000000000165</v>
      </c>
      <c r="Q238" s="3">
        <f t="shared" si="49"/>
        <v>172.44799999999998</v>
      </c>
      <c r="R238" s="3">
        <f t="shared" si="52"/>
        <v>352.44799999999998</v>
      </c>
      <c r="S238" s="3">
        <f t="shared" si="53"/>
        <v>352.44799999999998</v>
      </c>
      <c r="T238" s="27">
        <f t="shared" si="54"/>
        <v>-7.5520000000000209</v>
      </c>
      <c r="U238" s="17">
        <f t="shared" si="50"/>
        <v>-4.1231216216216451</v>
      </c>
      <c r="V238" s="27">
        <f t="shared" si="51"/>
        <v>-0.45650000000000013</v>
      </c>
    </row>
    <row r="239" spans="1:22" s="5" customFormat="1">
      <c r="A239" s="5">
        <v>150</v>
      </c>
      <c r="B239" s="17">
        <v>-7.5</v>
      </c>
      <c r="C239" s="5">
        <v>118.709</v>
      </c>
      <c r="D239" s="5">
        <v>124.032</v>
      </c>
      <c r="E239" s="5">
        <f t="shared" si="55"/>
        <v>117.25900000000001</v>
      </c>
      <c r="F239" s="25">
        <f>360-(117.245+D239+C239)</f>
        <v>1.4000000000010004E-2</v>
      </c>
      <c r="G239" s="30">
        <v>1.345</v>
      </c>
      <c r="H239" s="7">
        <v>3.9670000000000001</v>
      </c>
      <c r="I239" s="7">
        <v>-8.5310000000000006</v>
      </c>
      <c r="J239" s="6" t="s">
        <v>9</v>
      </c>
      <c r="K239" s="17">
        <v>172.88300000000001</v>
      </c>
      <c r="L239" s="3">
        <f t="shared" si="47"/>
        <v>181.41500000000002</v>
      </c>
      <c r="M239" s="3">
        <f t="shared" si="56"/>
        <v>361.41500000000002</v>
      </c>
      <c r="N239" s="3">
        <f t="shared" si="57"/>
        <v>1.4150000000000205</v>
      </c>
      <c r="O239" s="27">
        <f t="shared" si="58"/>
        <v>1.4150000000000205</v>
      </c>
      <c r="P239" s="17">
        <f t="shared" si="48"/>
        <v>0.89000000000001944</v>
      </c>
      <c r="Q239" s="3">
        <f t="shared" si="49"/>
        <v>168.917</v>
      </c>
      <c r="R239" s="3">
        <f t="shared" si="52"/>
        <v>348.91700000000003</v>
      </c>
      <c r="S239" s="3">
        <f t="shared" si="53"/>
        <v>348.91700000000003</v>
      </c>
      <c r="T239" s="27">
        <f t="shared" si="54"/>
        <v>-11.08299999999997</v>
      </c>
      <c r="U239" s="17">
        <f t="shared" si="50"/>
        <v>-7.6541216216215942</v>
      </c>
      <c r="V239" s="27">
        <f t="shared" si="51"/>
        <v>-2.282</v>
      </c>
    </row>
    <row r="240" spans="1:22" s="5" customFormat="1">
      <c r="A240" s="5">
        <v>150</v>
      </c>
      <c r="B240" s="17">
        <v>-5</v>
      </c>
      <c r="C240" s="5">
        <v>118.649</v>
      </c>
      <c r="D240" s="5">
        <v>123.998</v>
      </c>
      <c r="E240" s="5">
        <f t="shared" si="55"/>
        <v>117.35300000000001</v>
      </c>
      <c r="F240" s="25">
        <f>360-(117.326+D240+C240)</f>
        <v>2.6999999999986812E-2</v>
      </c>
      <c r="G240" s="30">
        <v>1.345</v>
      </c>
      <c r="H240" s="7">
        <v>4.1319999999999997</v>
      </c>
      <c r="I240" s="7">
        <v>-9.5359999999999996</v>
      </c>
      <c r="J240" s="6" t="s">
        <v>8</v>
      </c>
      <c r="K240" s="17">
        <v>172.381</v>
      </c>
      <c r="L240" s="3">
        <f t="shared" si="47"/>
        <v>181.91800000000001</v>
      </c>
      <c r="M240" s="3">
        <f t="shared" si="56"/>
        <v>361.91800000000001</v>
      </c>
      <c r="N240" s="3">
        <f t="shared" si="57"/>
        <v>1.9180000000000064</v>
      </c>
      <c r="O240" s="27">
        <f t="shared" si="58"/>
        <v>1.9180000000000064</v>
      </c>
      <c r="P240" s="17">
        <f t="shared" si="48"/>
        <v>1.3930000000000053</v>
      </c>
      <c r="Q240" s="3">
        <f t="shared" si="49"/>
        <v>168.25</v>
      </c>
      <c r="R240" s="3">
        <f t="shared" si="52"/>
        <v>348.25</v>
      </c>
      <c r="S240" s="3">
        <f t="shared" si="53"/>
        <v>348.25</v>
      </c>
      <c r="T240" s="27">
        <f t="shared" si="54"/>
        <v>-11.75</v>
      </c>
      <c r="U240" s="17">
        <f t="shared" si="50"/>
        <v>-8.3211216216216251</v>
      </c>
      <c r="V240" s="27">
        <f t="shared" si="51"/>
        <v>-2.702</v>
      </c>
    </row>
    <row r="241" spans="1:22" s="5" customFormat="1">
      <c r="A241" s="5">
        <v>150</v>
      </c>
      <c r="B241" s="17">
        <v>-2.5</v>
      </c>
      <c r="C241" s="5">
        <v>118.595</v>
      </c>
      <c r="D241" s="5">
        <v>123.96</v>
      </c>
      <c r="E241" s="5">
        <f t="shared" si="55"/>
        <v>117.44499999999999</v>
      </c>
      <c r="F241" s="25">
        <f>360-(117.403+D241+C241)</f>
        <v>4.2000000000030013E-2</v>
      </c>
      <c r="G241" s="30">
        <v>1.345</v>
      </c>
      <c r="H241" s="7">
        <v>4.2560000000000002</v>
      </c>
      <c r="I241" s="7">
        <v>-10.513999999999999</v>
      </c>
      <c r="J241" s="6" t="s">
        <v>7</v>
      </c>
      <c r="K241" s="17">
        <v>171.91300000000001</v>
      </c>
      <c r="L241" s="3">
        <f t="shared" si="47"/>
        <v>182.428</v>
      </c>
      <c r="M241" s="3">
        <f t="shared" si="56"/>
        <v>362.428</v>
      </c>
      <c r="N241" s="3">
        <f t="shared" si="57"/>
        <v>2.4279999999999973</v>
      </c>
      <c r="O241" s="27">
        <f t="shared" si="58"/>
        <v>2.4279999999999973</v>
      </c>
      <c r="P241" s="17">
        <f t="shared" si="48"/>
        <v>1.9029999999999963</v>
      </c>
      <c r="Q241" s="3">
        <f t="shared" si="49"/>
        <v>167.65799999999999</v>
      </c>
      <c r="R241" s="3">
        <f t="shared" si="52"/>
        <v>347.65800000000002</v>
      </c>
      <c r="S241" s="3">
        <f t="shared" si="53"/>
        <v>347.65800000000002</v>
      </c>
      <c r="T241" s="27">
        <f t="shared" si="54"/>
        <v>-12.341999999999985</v>
      </c>
      <c r="U241" s="17">
        <f t="shared" si="50"/>
        <v>-8.9131216216216096</v>
      </c>
      <c r="V241" s="27">
        <f t="shared" si="51"/>
        <v>-3.1289999999999996</v>
      </c>
    </row>
    <row r="242" spans="1:22" s="5" customFormat="1">
      <c r="A242" s="5">
        <v>150</v>
      </c>
      <c r="B242" s="17">
        <v>0</v>
      </c>
      <c r="C242" s="5">
        <v>118.547</v>
      </c>
      <c r="D242" s="5">
        <v>123.913</v>
      </c>
      <c r="E242" s="5">
        <f t="shared" si="55"/>
        <v>117.54000000000002</v>
      </c>
      <c r="F242" s="25">
        <f>360-(117.477+D242+C242)</f>
        <v>6.2999999999988177E-2</v>
      </c>
      <c r="G242" s="30">
        <v>1.345</v>
      </c>
      <c r="H242" s="7">
        <v>4.3250000000000002</v>
      </c>
      <c r="I242" s="7">
        <v>-11.428000000000001</v>
      </c>
      <c r="J242" s="6" t="s">
        <v>25</v>
      </c>
      <c r="K242" s="17">
        <v>171.50800000000001</v>
      </c>
      <c r="L242" s="3">
        <f t="shared" si="47"/>
        <v>182.93599999999998</v>
      </c>
      <c r="M242" s="3">
        <f t="shared" si="56"/>
        <v>362.93599999999998</v>
      </c>
      <c r="N242" s="3">
        <f t="shared" si="57"/>
        <v>2.9359999999999786</v>
      </c>
      <c r="O242" s="27">
        <f t="shared" si="58"/>
        <v>2.9359999999999786</v>
      </c>
      <c r="P242" s="17">
        <f t="shared" si="48"/>
        <v>2.4109999999999774</v>
      </c>
      <c r="Q242" s="3">
        <f t="shared" si="49"/>
        <v>167.18299999999999</v>
      </c>
      <c r="R242" s="3">
        <f t="shared" si="52"/>
        <v>347.18299999999999</v>
      </c>
      <c r="S242" s="3">
        <f t="shared" si="53"/>
        <v>347.18299999999999</v>
      </c>
      <c r="T242" s="27">
        <f t="shared" si="54"/>
        <v>-12.817000000000007</v>
      </c>
      <c r="U242" s="17">
        <f t="shared" si="50"/>
        <v>-9.3881216216216323</v>
      </c>
      <c r="V242" s="27">
        <f t="shared" si="51"/>
        <v>-3.5515000000000003</v>
      </c>
    </row>
    <row r="243" spans="1:22" s="5" customFormat="1">
      <c r="A243" s="5">
        <v>150</v>
      </c>
      <c r="B243" s="17">
        <v>5</v>
      </c>
      <c r="C243" s="5">
        <v>118.471</v>
      </c>
      <c r="D243" s="5">
        <v>123.82</v>
      </c>
      <c r="E243" s="5">
        <f t="shared" si="55"/>
        <v>117.709</v>
      </c>
      <c r="F243" s="25">
        <f>360-(117.596+D243+C243)</f>
        <v>0.11299999999999955</v>
      </c>
      <c r="G243" s="30">
        <v>1.3460000000000001</v>
      </c>
      <c r="H243" s="7">
        <v>4.2140000000000004</v>
      </c>
      <c r="I243" s="6" t="s">
        <v>247</v>
      </c>
      <c r="J243" s="6" t="s">
        <v>6</v>
      </c>
      <c r="K243" s="17">
        <v>170.809</v>
      </c>
      <c r="L243" s="3">
        <f t="shared" si="47"/>
        <v>183.935</v>
      </c>
      <c r="M243" s="3">
        <f t="shared" si="56"/>
        <v>363.935</v>
      </c>
      <c r="N243" s="3">
        <f t="shared" si="57"/>
        <v>3.9350000000000023</v>
      </c>
      <c r="O243" s="27">
        <f t="shared" si="58"/>
        <v>3.9350000000000023</v>
      </c>
      <c r="P243" s="17">
        <f t="shared" si="48"/>
        <v>3.410000000000001</v>
      </c>
      <c r="Q243" s="3">
        <f t="shared" si="49"/>
        <v>166.596</v>
      </c>
      <c r="R243" s="3">
        <f t="shared" si="52"/>
        <v>346.596</v>
      </c>
      <c r="S243" s="3">
        <f t="shared" si="53"/>
        <v>346.596</v>
      </c>
      <c r="T243" s="27">
        <f t="shared" si="54"/>
        <v>-13.403999999999996</v>
      </c>
      <c r="U243" s="17">
        <f t="shared" si="50"/>
        <v>-9.9751216216216214</v>
      </c>
      <c r="V243" s="27">
        <f t="shared" si="51"/>
        <v>-4.4554999999999998</v>
      </c>
    </row>
    <row r="244" spans="1:22" s="5" customFormat="1">
      <c r="A244" s="5">
        <v>150</v>
      </c>
      <c r="B244" s="17">
        <v>10</v>
      </c>
      <c r="C244" s="5">
        <v>118.428</v>
      </c>
      <c r="D244" s="5">
        <v>123.73099999999999</v>
      </c>
      <c r="E244" s="5">
        <f t="shared" si="55"/>
        <v>117.84100000000001</v>
      </c>
      <c r="F244" s="25">
        <f>360-(117.676+D244+C244)</f>
        <v>0.16500000000002046</v>
      </c>
      <c r="G244" s="30">
        <v>1.3460000000000001</v>
      </c>
      <c r="H244" s="7">
        <v>4.3159999999999998</v>
      </c>
      <c r="I244" s="7">
        <v>-14.308999999999999</v>
      </c>
      <c r="J244" s="7">
        <v>179.56299999999999</v>
      </c>
      <c r="K244" s="17">
        <v>170.44399999999999</v>
      </c>
      <c r="L244" s="3">
        <f t="shared" si="47"/>
        <v>-175.24699999999999</v>
      </c>
      <c r="M244" s="3">
        <f t="shared" si="56"/>
        <v>4.7530000000000143</v>
      </c>
      <c r="N244" s="3">
        <f t="shared" si="57"/>
        <v>4.7530000000000143</v>
      </c>
      <c r="O244" s="27">
        <f t="shared" si="58"/>
        <v>4.7530000000000143</v>
      </c>
      <c r="P244" s="17">
        <f t="shared" si="48"/>
        <v>4.2280000000000131</v>
      </c>
      <c r="Q244" s="3">
        <f t="shared" si="49"/>
        <v>-193.87199999999999</v>
      </c>
      <c r="R244" s="3">
        <f t="shared" si="52"/>
        <v>-13.871999999999986</v>
      </c>
      <c r="S244" s="3">
        <f t="shared" si="53"/>
        <v>346.12800000000004</v>
      </c>
      <c r="T244" s="27">
        <f t="shared" si="54"/>
        <v>-13.871999999999957</v>
      </c>
      <c r="U244" s="17">
        <f t="shared" si="50"/>
        <v>-10.443121621621582</v>
      </c>
      <c r="V244" s="27">
        <f t="shared" si="51"/>
        <v>-4.9964999999999993</v>
      </c>
    </row>
    <row r="245" spans="1:22" s="5" customFormat="1">
      <c r="A245" s="5">
        <v>150</v>
      </c>
      <c r="B245" s="17">
        <v>20</v>
      </c>
      <c r="C245" s="5">
        <v>118.357</v>
      </c>
      <c r="D245" s="5">
        <v>123.426</v>
      </c>
      <c r="E245" s="5">
        <f t="shared" si="55"/>
        <v>118.21699999999998</v>
      </c>
      <c r="F245" s="25">
        <f>360-(117.968+D245+C245)</f>
        <v>0.24900000000002365</v>
      </c>
      <c r="G245" s="30">
        <v>1.347</v>
      </c>
      <c r="H245" s="7">
        <v>4.601</v>
      </c>
      <c r="I245" s="7">
        <v>-14.906000000000001</v>
      </c>
      <c r="J245" s="7">
        <v>178.76499999999999</v>
      </c>
      <c r="K245" s="17">
        <v>170.93</v>
      </c>
      <c r="L245" s="3">
        <f t="shared" si="47"/>
        <v>-174.16399999999999</v>
      </c>
      <c r="M245" s="3">
        <f t="shared" si="56"/>
        <v>5.8360000000000127</v>
      </c>
      <c r="N245" s="3">
        <f t="shared" si="57"/>
        <v>5.8360000000000127</v>
      </c>
      <c r="O245" s="27">
        <f t="shared" si="58"/>
        <v>5.8360000000000127</v>
      </c>
      <c r="P245" s="17">
        <f t="shared" si="48"/>
        <v>5.3110000000000115</v>
      </c>
      <c r="Q245" s="3">
        <f t="shared" si="49"/>
        <v>-193.67099999999999</v>
      </c>
      <c r="R245" s="3">
        <f t="shared" si="52"/>
        <v>-13.670999999999992</v>
      </c>
      <c r="S245" s="3">
        <f t="shared" si="53"/>
        <v>346.32900000000001</v>
      </c>
      <c r="T245" s="27">
        <f t="shared" si="54"/>
        <v>-13.670999999999992</v>
      </c>
      <c r="U245" s="17">
        <f t="shared" si="50"/>
        <v>-10.242121621621617</v>
      </c>
      <c r="V245" s="27">
        <f t="shared" si="51"/>
        <v>-5.1524999999999999</v>
      </c>
    </row>
    <row r="246" spans="1:22" s="5" customFormat="1">
      <c r="A246" s="5">
        <v>150</v>
      </c>
      <c r="B246" s="17">
        <v>30</v>
      </c>
      <c r="C246" s="5">
        <v>118.348</v>
      </c>
      <c r="D246" s="5">
        <v>123.137</v>
      </c>
      <c r="E246" s="5">
        <f t="shared" si="55"/>
        <v>118.51499999999999</v>
      </c>
      <c r="F246" s="25">
        <f>360-(118.295+D246+C246)</f>
        <v>0.21999999999997044</v>
      </c>
      <c r="G246" s="30">
        <v>1.3460000000000001</v>
      </c>
      <c r="H246" s="7">
        <v>4.1079999999999997</v>
      </c>
      <c r="I246" s="7">
        <v>-10.917</v>
      </c>
      <c r="J246" s="7">
        <v>178.62200000000001</v>
      </c>
      <c r="K246" s="17">
        <v>174.56800000000001</v>
      </c>
      <c r="L246" s="3">
        <f t="shared" si="47"/>
        <v>-174.51400000000001</v>
      </c>
      <c r="M246" s="3">
        <f t="shared" si="56"/>
        <v>5.48599999999999</v>
      </c>
      <c r="N246" s="3">
        <f t="shared" si="57"/>
        <v>5.48599999999999</v>
      </c>
      <c r="O246" s="27">
        <f t="shared" si="58"/>
        <v>5.48599999999999</v>
      </c>
      <c r="P246" s="17">
        <f t="shared" si="48"/>
        <v>4.9609999999999888</v>
      </c>
      <c r="Q246" s="3">
        <f t="shared" si="49"/>
        <v>-189.53900000000002</v>
      </c>
      <c r="R246" s="3">
        <f t="shared" si="52"/>
        <v>-9.5390000000000157</v>
      </c>
      <c r="S246" s="3">
        <f t="shared" si="53"/>
        <v>350.46100000000001</v>
      </c>
      <c r="T246" s="27">
        <f t="shared" si="54"/>
        <v>-9.5389999999999873</v>
      </c>
      <c r="U246" s="17">
        <f t="shared" si="50"/>
        <v>-6.1101216216216114</v>
      </c>
      <c r="V246" s="27">
        <f t="shared" si="51"/>
        <v>-3.4045000000000001</v>
      </c>
    </row>
    <row r="247" spans="1:22" s="5" customFormat="1">
      <c r="A247" s="5">
        <v>150</v>
      </c>
      <c r="B247" s="17">
        <v>40</v>
      </c>
      <c r="C247" s="5">
        <v>118.99299999999999</v>
      </c>
      <c r="D247" s="5">
        <v>123.099</v>
      </c>
      <c r="E247" s="5">
        <f t="shared" si="55"/>
        <v>117.90800000000002</v>
      </c>
      <c r="F247" s="25">
        <f>360-(117.835+D247+C247)</f>
        <v>7.2999999999979082E-2</v>
      </c>
      <c r="G247" s="30">
        <v>1.347</v>
      </c>
      <c r="H247" s="7">
        <v>2.258</v>
      </c>
      <c r="I247" s="7">
        <v>-0.45500000000000002</v>
      </c>
      <c r="J247" s="7">
        <v>179.11600000000001</v>
      </c>
      <c r="K247" s="17">
        <v>177.31299999999999</v>
      </c>
      <c r="L247" s="3">
        <f t="shared" si="47"/>
        <v>-176.858</v>
      </c>
      <c r="M247" s="3">
        <f t="shared" si="56"/>
        <v>3.1419999999999959</v>
      </c>
      <c r="N247" s="3">
        <f t="shared" si="57"/>
        <v>3.1419999999999959</v>
      </c>
      <c r="O247" s="27">
        <f t="shared" si="58"/>
        <v>3.1419999999999959</v>
      </c>
      <c r="P247" s="17">
        <f t="shared" si="48"/>
        <v>2.6169999999999947</v>
      </c>
      <c r="Q247" s="3">
        <f t="shared" si="49"/>
        <v>-179.57100000000003</v>
      </c>
      <c r="R247" s="3">
        <f t="shared" si="52"/>
        <v>0.42899999999997362</v>
      </c>
      <c r="S247" s="3">
        <f t="shared" si="53"/>
        <v>0.42899999999997362</v>
      </c>
      <c r="T247" s="27">
        <f t="shared" si="54"/>
        <v>0.42899999999997362</v>
      </c>
      <c r="U247" s="17">
        <f t="shared" si="50"/>
        <v>3.8578783783783495</v>
      </c>
      <c r="V247" s="27">
        <f t="shared" si="51"/>
        <v>0.90149999999999997</v>
      </c>
    </row>
    <row r="248" spans="1:22" s="5" customFormat="1">
      <c r="A248" s="5">
        <v>150</v>
      </c>
      <c r="B248" s="17">
        <v>50</v>
      </c>
      <c r="C248" s="5">
        <v>120.25</v>
      </c>
      <c r="D248" s="5">
        <v>123.474</v>
      </c>
      <c r="E248" s="5">
        <f t="shared" si="55"/>
        <v>116.27600000000001</v>
      </c>
      <c r="F248" s="25">
        <f>360-(116.274+D248+C248)</f>
        <v>2.0000000000095497E-3</v>
      </c>
      <c r="G248" s="30">
        <v>1.35</v>
      </c>
      <c r="H248" s="7">
        <v>0.41299999999999998</v>
      </c>
      <c r="I248" s="7">
        <v>7.8559999999999999</v>
      </c>
      <c r="J248" s="6" t="s">
        <v>24</v>
      </c>
      <c r="K248" s="17">
        <v>171.745</v>
      </c>
      <c r="L248" s="3">
        <f t="shared" si="47"/>
        <v>180.399</v>
      </c>
      <c r="M248" s="3">
        <f t="shared" si="56"/>
        <v>360.399</v>
      </c>
      <c r="N248" s="3">
        <f t="shared" si="57"/>
        <v>0.39900000000000091</v>
      </c>
      <c r="O248" s="27">
        <f t="shared" si="58"/>
        <v>0.39900000000000091</v>
      </c>
      <c r="P248" s="17">
        <f t="shared" si="48"/>
        <v>-0.12600000000000011</v>
      </c>
      <c r="Q248" s="3">
        <f t="shared" si="49"/>
        <v>187.84199999999998</v>
      </c>
      <c r="R248" s="3">
        <f t="shared" si="52"/>
        <v>367.84199999999998</v>
      </c>
      <c r="S248" s="3">
        <f t="shared" si="53"/>
        <v>7.8419999999999845</v>
      </c>
      <c r="T248" s="27">
        <f t="shared" si="54"/>
        <v>7.8419999999999845</v>
      </c>
      <c r="U248" s="17">
        <f t="shared" si="50"/>
        <v>11.270878378378359</v>
      </c>
      <c r="V248" s="27">
        <f t="shared" si="51"/>
        <v>4.1345000000000001</v>
      </c>
    </row>
    <row r="249" spans="1:22" s="5" customFormat="1">
      <c r="A249" s="5">
        <v>150</v>
      </c>
      <c r="B249" s="17">
        <v>60</v>
      </c>
      <c r="C249" s="5">
        <v>120.824</v>
      </c>
      <c r="D249" s="5">
        <v>123.428</v>
      </c>
      <c r="E249" s="5">
        <f t="shared" si="55"/>
        <v>115.74799999999999</v>
      </c>
      <c r="F249" s="25">
        <f>360-(115.748+D249+C249)</f>
        <v>0</v>
      </c>
      <c r="G249" s="30">
        <v>1.349</v>
      </c>
      <c r="H249" s="7">
        <v>1.169</v>
      </c>
      <c r="I249" s="7">
        <v>6.8890000000000002</v>
      </c>
      <c r="J249" s="6" t="s">
        <v>23</v>
      </c>
      <c r="K249" s="17">
        <v>173.44200000000001</v>
      </c>
      <c r="L249" s="3">
        <f t="shared" si="47"/>
        <v>179.66900000000001</v>
      </c>
      <c r="M249" s="3">
        <f t="shared" si="56"/>
        <v>359.66899999999998</v>
      </c>
      <c r="N249" s="3">
        <f t="shared" si="57"/>
        <v>359.66899999999998</v>
      </c>
      <c r="O249" s="27">
        <f t="shared" si="58"/>
        <v>-0.33100000000001728</v>
      </c>
      <c r="P249" s="17">
        <f t="shared" si="48"/>
        <v>-0.8560000000000183</v>
      </c>
      <c r="Q249" s="3">
        <f t="shared" si="49"/>
        <v>185.38900000000001</v>
      </c>
      <c r="R249" s="3">
        <f t="shared" si="52"/>
        <v>365.38900000000001</v>
      </c>
      <c r="S249" s="3">
        <f t="shared" si="53"/>
        <v>5.38900000000001</v>
      </c>
      <c r="T249" s="27">
        <f t="shared" si="54"/>
        <v>5.38900000000001</v>
      </c>
      <c r="U249" s="17">
        <f t="shared" si="50"/>
        <v>8.817878378378385</v>
      </c>
      <c r="V249" s="27">
        <f t="shared" si="51"/>
        <v>4.0289999999999999</v>
      </c>
    </row>
    <row r="250" spans="1:22" s="5" customFormat="1">
      <c r="A250" s="5">
        <v>150</v>
      </c>
      <c r="B250" s="17">
        <v>70</v>
      </c>
      <c r="C250" s="5">
        <v>121.123</v>
      </c>
      <c r="D250" s="5">
        <v>123.59099999999999</v>
      </c>
      <c r="E250" s="5">
        <f t="shared" si="55"/>
        <v>115.286</v>
      </c>
      <c r="F250" s="25">
        <f>360-(115.278+D250+C250)</f>
        <v>7.9999999999813554E-3</v>
      </c>
      <c r="G250" s="30">
        <v>1.349</v>
      </c>
      <c r="H250" s="7">
        <v>0.60299999999999998</v>
      </c>
      <c r="I250" s="7">
        <v>6.0640000000000001</v>
      </c>
      <c r="J250" s="6" t="s">
        <v>22</v>
      </c>
      <c r="K250" s="17">
        <v>174.96899999999999</v>
      </c>
      <c r="L250" s="3">
        <f t="shared" si="47"/>
        <v>178.96700000000001</v>
      </c>
      <c r="M250" s="3">
        <f t="shared" si="56"/>
        <v>358.96699999999998</v>
      </c>
      <c r="N250" s="3">
        <f t="shared" si="57"/>
        <v>358.96699999999998</v>
      </c>
      <c r="O250" s="27">
        <f t="shared" si="58"/>
        <v>-1.0330000000000155</v>
      </c>
      <c r="P250" s="17">
        <f t="shared" si="48"/>
        <v>-1.5580000000000165</v>
      </c>
      <c r="Q250" s="3">
        <f t="shared" si="49"/>
        <v>184.428</v>
      </c>
      <c r="R250" s="3">
        <f t="shared" si="52"/>
        <v>364.428</v>
      </c>
      <c r="S250" s="3">
        <f t="shared" si="53"/>
        <v>4.4279999999999973</v>
      </c>
      <c r="T250" s="27">
        <f t="shared" si="54"/>
        <v>4.4279999999999973</v>
      </c>
      <c r="U250" s="17">
        <f t="shared" si="50"/>
        <v>7.8568783783783731</v>
      </c>
      <c r="V250" s="27">
        <f t="shared" si="51"/>
        <v>3.3334999999999999</v>
      </c>
    </row>
    <row r="251" spans="1:22" s="5" customFormat="1">
      <c r="A251" s="5">
        <v>150</v>
      </c>
      <c r="B251" s="17">
        <v>80</v>
      </c>
      <c r="C251" s="5">
        <v>121.245</v>
      </c>
      <c r="D251" s="5">
        <v>123.74</v>
      </c>
      <c r="E251" s="5">
        <f t="shared" si="55"/>
        <v>115.01499999999999</v>
      </c>
      <c r="F251" s="25">
        <f>360-(114.991+D251+C251)</f>
        <v>2.4000000000000909E-2</v>
      </c>
      <c r="G251" s="30">
        <v>1.3480000000000001</v>
      </c>
      <c r="H251" s="7">
        <v>1.845</v>
      </c>
      <c r="I251" s="7">
        <v>4.5659999999999998</v>
      </c>
      <c r="J251" s="6" t="s">
        <v>21</v>
      </c>
      <c r="K251" s="17">
        <v>177.17500000000001</v>
      </c>
      <c r="L251" s="3">
        <f t="shared" si="47"/>
        <v>178.25899999999999</v>
      </c>
      <c r="M251" s="3">
        <f t="shared" si="56"/>
        <v>358.25900000000001</v>
      </c>
      <c r="N251" s="3">
        <f t="shared" si="57"/>
        <v>358.25900000000001</v>
      </c>
      <c r="O251" s="27">
        <f t="shared" si="58"/>
        <v>-1.7409999999999854</v>
      </c>
      <c r="P251" s="17">
        <f t="shared" si="48"/>
        <v>-2.2659999999999867</v>
      </c>
      <c r="Q251" s="3">
        <f t="shared" si="49"/>
        <v>180.98</v>
      </c>
      <c r="R251" s="3">
        <f t="shared" si="52"/>
        <v>360.98</v>
      </c>
      <c r="S251" s="3">
        <f t="shared" si="53"/>
        <v>0.98000000000001819</v>
      </c>
      <c r="T251" s="27">
        <f t="shared" si="54"/>
        <v>0.98000000000001819</v>
      </c>
      <c r="U251" s="17">
        <f t="shared" si="50"/>
        <v>4.408878378378394</v>
      </c>
      <c r="V251" s="27">
        <f t="shared" si="51"/>
        <v>3.2054999999999998</v>
      </c>
    </row>
    <row r="252" spans="1:22" s="5" customFormat="1">
      <c r="A252" s="5">
        <v>150</v>
      </c>
      <c r="B252" s="17">
        <v>90</v>
      </c>
      <c r="C252" s="5">
        <v>121.095</v>
      </c>
      <c r="D252" s="5">
        <v>123.735</v>
      </c>
      <c r="E252" s="5">
        <f t="shared" si="55"/>
        <v>115.17000000000002</v>
      </c>
      <c r="F252" s="25">
        <f>360-(115.148+D252+C252)</f>
        <v>2.2000000000048203E-2</v>
      </c>
      <c r="G252" s="30">
        <v>1.347</v>
      </c>
      <c r="H252" s="7">
        <v>0.97199999999999998</v>
      </c>
      <c r="I252" s="7">
        <v>2.8010000000000002</v>
      </c>
      <c r="J252" s="6" t="s">
        <v>20</v>
      </c>
      <c r="K252" s="17">
        <v>178.874</v>
      </c>
      <c r="L252" s="3">
        <f t="shared" si="47"/>
        <v>178.32500000000002</v>
      </c>
      <c r="M252" s="3">
        <f t="shared" si="56"/>
        <v>358.32500000000005</v>
      </c>
      <c r="N252" s="3">
        <f t="shared" si="57"/>
        <v>358.32500000000005</v>
      </c>
      <c r="O252" s="27">
        <f t="shared" si="58"/>
        <v>-1.6749999999999545</v>
      </c>
      <c r="P252" s="17">
        <f t="shared" si="48"/>
        <v>-2.1999999999999558</v>
      </c>
      <c r="Q252" s="3">
        <f t="shared" si="49"/>
        <v>180.154</v>
      </c>
      <c r="R252" s="3">
        <f t="shared" si="52"/>
        <v>360.154</v>
      </c>
      <c r="S252" s="3">
        <f t="shared" si="53"/>
        <v>0.15399999999999636</v>
      </c>
      <c r="T252" s="27">
        <f t="shared" si="54"/>
        <v>0.15399999999999636</v>
      </c>
      <c r="U252" s="17">
        <f t="shared" si="50"/>
        <v>3.5828783783783722</v>
      </c>
      <c r="V252" s="27">
        <f t="shared" si="51"/>
        <v>1.8865000000000001</v>
      </c>
    </row>
    <row r="253" spans="1:22" s="5" customFormat="1">
      <c r="A253" s="5">
        <v>150</v>
      </c>
      <c r="B253" s="17">
        <v>100</v>
      </c>
      <c r="C253" s="5">
        <v>120.923</v>
      </c>
      <c r="D253" s="5">
        <v>123.77200000000001</v>
      </c>
      <c r="E253" s="5">
        <f t="shared" si="55"/>
        <v>115.30500000000001</v>
      </c>
      <c r="F253" s="25">
        <f>360-(115.294+D253+C253)</f>
        <v>1.0999999999967258E-2</v>
      </c>
      <c r="G253" s="30">
        <v>1.347</v>
      </c>
      <c r="H253" s="7">
        <v>0.38900000000000001</v>
      </c>
      <c r="I253" s="7">
        <v>0.51600000000000001</v>
      </c>
      <c r="J253" s="6" t="s">
        <v>19</v>
      </c>
      <c r="K253" s="17">
        <v>179.357</v>
      </c>
      <c r="L253" s="3">
        <f t="shared" si="47"/>
        <v>178.84100000000001</v>
      </c>
      <c r="M253" s="3">
        <f t="shared" si="56"/>
        <v>358.84100000000001</v>
      </c>
      <c r="N253" s="3">
        <f t="shared" si="57"/>
        <v>358.84100000000001</v>
      </c>
      <c r="O253" s="27">
        <f t="shared" si="58"/>
        <v>-1.1589999999999918</v>
      </c>
      <c r="P253" s="17">
        <f t="shared" si="48"/>
        <v>-1.6839999999999928</v>
      </c>
      <c r="Q253" s="3">
        <f t="shared" si="49"/>
        <v>178.96799999999999</v>
      </c>
      <c r="R253" s="3">
        <f t="shared" si="52"/>
        <v>358.96799999999996</v>
      </c>
      <c r="S253" s="3">
        <f t="shared" si="53"/>
        <v>358.96799999999996</v>
      </c>
      <c r="T253" s="27">
        <f t="shared" si="54"/>
        <v>-1.0320000000000391</v>
      </c>
      <c r="U253" s="17">
        <f t="shared" si="50"/>
        <v>2.3968783783783367</v>
      </c>
      <c r="V253" s="27">
        <f t="shared" si="51"/>
        <v>0.45250000000000001</v>
      </c>
    </row>
    <row r="254" spans="1:22" s="5" customFormat="1">
      <c r="A254" s="5">
        <v>150</v>
      </c>
      <c r="B254" s="17">
        <v>110</v>
      </c>
      <c r="C254" s="5">
        <v>120.93899999999999</v>
      </c>
      <c r="D254" s="5">
        <v>123.791</v>
      </c>
      <c r="E254" s="5">
        <f t="shared" si="55"/>
        <v>115.27000000000001</v>
      </c>
      <c r="F254" s="25">
        <f>360-(115.268+D254+C254)</f>
        <v>2.0000000000095497E-3</v>
      </c>
      <c r="G254" s="30">
        <v>1.3460000000000001</v>
      </c>
      <c r="H254" s="6" t="s">
        <v>18</v>
      </c>
      <c r="I254" s="6">
        <v>-1.147</v>
      </c>
      <c r="J254" s="6" t="s">
        <v>17</v>
      </c>
      <c r="K254" s="17">
        <v>178.32400000000001</v>
      </c>
      <c r="L254" s="3">
        <f t="shared" si="47"/>
        <v>179.47300000000001</v>
      </c>
      <c r="M254" s="3">
        <f t="shared" si="56"/>
        <v>359.47300000000001</v>
      </c>
      <c r="N254" s="3">
        <f t="shared" si="57"/>
        <v>359.47300000000001</v>
      </c>
      <c r="O254" s="27">
        <f t="shared" si="58"/>
        <v>-0.52699999999998681</v>
      </c>
      <c r="P254" s="17">
        <f t="shared" si="48"/>
        <v>-1.0519999999999878</v>
      </c>
      <c r="Q254" s="3">
        <f t="shared" si="49"/>
        <v>178.49100000000001</v>
      </c>
      <c r="R254" s="3">
        <f t="shared" si="52"/>
        <v>358.49099999999999</v>
      </c>
      <c r="S254" s="3">
        <f t="shared" si="53"/>
        <v>358.49099999999999</v>
      </c>
      <c r="T254" s="27">
        <f t="shared" si="54"/>
        <v>-1.5090000000000146</v>
      </c>
      <c r="U254" s="17">
        <f t="shared" si="50"/>
        <v>1.9198783783783613</v>
      </c>
      <c r="V254" s="27">
        <f t="shared" si="51"/>
        <v>-0.65600000000000003</v>
      </c>
    </row>
    <row r="255" spans="1:22" s="5" customFormat="1">
      <c r="A255" s="5">
        <v>150</v>
      </c>
      <c r="B255" s="17">
        <v>120</v>
      </c>
      <c r="C255" s="5">
        <v>120.977</v>
      </c>
      <c r="D255" s="5">
        <v>123.76600000000001</v>
      </c>
      <c r="E255" s="5">
        <f t="shared" si="55"/>
        <v>115.25700000000001</v>
      </c>
      <c r="F255" s="25">
        <f>360-(115.257+D255+C255)</f>
        <v>0</v>
      </c>
      <c r="G255" s="30">
        <v>1.3460000000000001</v>
      </c>
      <c r="H255" s="6" t="s">
        <v>16</v>
      </c>
      <c r="I255" s="6">
        <v>-2.7530000000000001</v>
      </c>
      <c r="J255" s="7">
        <v>179.358</v>
      </c>
      <c r="K255" s="17">
        <v>177.40199999999999</v>
      </c>
      <c r="L255" s="3">
        <f t="shared" si="47"/>
        <v>-179.845</v>
      </c>
      <c r="M255" s="3">
        <f t="shared" si="56"/>
        <v>0.15500000000000114</v>
      </c>
      <c r="N255" s="3">
        <f t="shared" si="57"/>
        <v>0.15500000000000114</v>
      </c>
      <c r="O255" s="27">
        <f t="shared" si="58"/>
        <v>0.15500000000000114</v>
      </c>
      <c r="P255" s="17">
        <f t="shared" si="48"/>
        <v>-0.36999999999999988</v>
      </c>
      <c r="Q255" s="3">
        <f t="shared" si="49"/>
        <v>-182.11099999999999</v>
      </c>
      <c r="R255" s="3">
        <f t="shared" si="52"/>
        <v>-2.11099999999999</v>
      </c>
      <c r="S255" s="3">
        <f t="shared" si="53"/>
        <v>357.88900000000001</v>
      </c>
      <c r="T255" s="27">
        <f t="shared" si="54"/>
        <v>-2.11099999999999</v>
      </c>
      <c r="U255" s="17">
        <f t="shared" si="50"/>
        <v>1.3178783783783858</v>
      </c>
      <c r="V255" s="27">
        <f t="shared" si="51"/>
        <v>-1.62</v>
      </c>
    </row>
    <row r="256" spans="1:22" s="5" customFormat="1">
      <c r="A256" s="5">
        <v>150</v>
      </c>
      <c r="B256" s="17">
        <v>130</v>
      </c>
      <c r="C256" s="5">
        <v>120.964</v>
      </c>
      <c r="D256" s="5">
        <v>123.828</v>
      </c>
      <c r="E256" s="5">
        <f t="shared" si="55"/>
        <v>115.208</v>
      </c>
      <c r="F256" s="25">
        <f>360-(115.206+D256+C256)</f>
        <v>2.0000000000095497E-3</v>
      </c>
      <c r="G256" s="30">
        <v>1.3460000000000001</v>
      </c>
      <c r="H256" s="6" t="s">
        <v>15</v>
      </c>
      <c r="I256" s="6">
        <v>-3.2109999999999999</v>
      </c>
      <c r="J256" s="7">
        <v>177.196</v>
      </c>
      <c r="K256" s="17">
        <v>177.34700000000001</v>
      </c>
      <c r="L256" s="3">
        <f t="shared" si="47"/>
        <v>-179.44200000000001</v>
      </c>
      <c r="M256" s="3">
        <f t="shared" si="56"/>
        <v>0.55799999999999272</v>
      </c>
      <c r="N256" s="3">
        <f t="shared" si="57"/>
        <v>0.55799999999999272</v>
      </c>
      <c r="O256" s="27">
        <f t="shared" si="58"/>
        <v>0.55799999999999272</v>
      </c>
      <c r="P256" s="17">
        <f t="shared" si="48"/>
        <v>3.2999999999991703E-2</v>
      </c>
      <c r="Q256" s="3">
        <f t="shared" si="49"/>
        <v>-180.40700000000001</v>
      </c>
      <c r="R256" s="3">
        <f t="shared" si="52"/>
        <v>-0.40700000000001069</v>
      </c>
      <c r="S256" s="3">
        <f t="shared" si="53"/>
        <v>359.59299999999996</v>
      </c>
      <c r="T256" s="27">
        <f t="shared" si="54"/>
        <v>-0.40700000000003911</v>
      </c>
      <c r="U256" s="17">
        <f t="shared" si="50"/>
        <v>3.0218783783783367</v>
      </c>
      <c r="V256" s="27">
        <f t="shared" si="51"/>
        <v>-2.7284999999999999</v>
      </c>
    </row>
    <row r="257" spans="1:22" s="5" customFormat="1">
      <c r="A257" s="5">
        <v>150</v>
      </c>
      <c r="B257" s="17">
        <v>140</v>
      </c>
      <c r="C257" s="5">
        <v>121.11</v>
      </c>
      <c r="D257" s="5">
        <v>123.81399999999999</v>
      </c>
      <c r="E257" s="5">
        <f t="shared" si="55"/>
        <v>115.07600000000002</v>
      </c>
      <c r="F257" s="25">
        <f>360-(115.072+D257+C257)</f>
        <v>4.0000000000190994E-3</v>
      </c>
      <c r="G257" s="30">
        <v>1.345</v>
      </c>
      <c r="H257" s="6" t="s">
        <v>14</v>
      </c>
      <c r="I257" s="6">
        <v>-4.6550000000000002</v>
      </c>
      <c r="J257" s="7">
        <v>177.035</v>
      </c>
      <c r="K257" s="17">
        <v>176.13</v>
      </c>
      <c r="L257" s="3">
        <f t="shared" si="47"/>
        <v>-179.215</v>
      </c>
      <c r="M257" s="3">
        <f t="shared" si="56"/>
        <v>0.78499999999999659</v>
      </c>
      <c r="N257" s="3">
        <f t="shared" si="57"/>
        <v>0.78499999999999659</v>
      </c>
      <c r="O257" s="27">
        <f t="shared" si="58"/>
        <v>0.78499999999999659</v>
      </c>
      <c r="P257" s="17">
        <f t="shared" si="48"/>
        <v>0.25999999999999557</v>
      </c>
      <c r="Q257" s="3">
        <f t="shared" si="49"/>
        <v>-181.69</v>
      </c>
      <c r="R257" s="3">
        <f t="shared" si="52"/>
        <v>-1.6899999999999977</v>
      </c>
      <c r="S257" s="3">
        <f t="shared" si="53"/>
        <v>358.31</v>
      </c>
      <c r="T257" s="27">
        <f t="shared" si="54"/>
        <v>-1.6899999999999977</v>
      </c>
      <c r="U257" s="17">
        <f t="shared" si="50"/>
        <v>1.7388783783783781</v>
      </c>
      <c r="V257" s="27">
        <f t="shared" si="51"/>
        <v>-3.4175000000000004</v>
      </c>
    </row>
    <row r="258" spans="1:22" s="5" customFormat="1">
      <c r="A258" s="5">
        <v>150</v>
      </c>
      <c r="B258" s="17">
        <v>150</v>
      </c>
      <c r="C258" s="5">
        <v>120.999</v>
      </c>
      <c r="D258" s="5">
        <v>123.991</v>
      </c>
      <c r="E258" s="5">
        <f t="shared" si="55"/>
        <v>115.00999999999999</v>
      </c>
      <c r="F258" s="25">
        <f>360-(115.01+D258+C258)</f>
        <v>0</v>
      </c>
      <c r="G258" s="30">
        <v>1.3440000000000001</v>
      </c>
      <c r="H258" s="6" t="s">
        <v>13</v>
      </c>
      <c r="I258" s="6">
        <v>-3.5350000000000001</v>
      </c>
      <c r="J258" s="7">
        <v>177</v>
      </c>
      <c r="K258" s="17">
        <v>176.65299999999999</v>
      </c>
      <c r="L258" s="3">
        <f t="shared" si="47"/>
        <v>-179.81200000000001</v>
      </c>
      <c r="M258" s="3">
        <f t="shared" si="56"/>
        <v>0.18799999999998818</v>
      </c>
      <c r="N258" s="3">
        <f t="shared" si="57"/>
        <v>0.18799999999998818</v>
      </c>
      <c r="O258" s="27">
        <f t="shared" si="58"/>
        <v>0.18799999999998818</v>
      </c>
      <c r="P258" s="17">
        <f t="shared" si="48"/>
        <v>-0.33700000000001284</v>
      </c>
      <c r="Q258" s="3">
        <f t="shared" si="49"/>
        <v>-180.535</v>
      </c>
      <c r="R258" s="3">
        <f t="shared" si="52"/>
        <v>-0.53499999999999659</v>
      </c>
      <c r="S258" s="3">
        <f t="shared" si="53"/>
        <v>359.46500000000003</v>
      </c>
      <c r="T258" s="27">
        <f t="shared" si="54"/>
        <v>-0.53499999999996817</v>
      </c>
      <c r="U258" s="17">
        <f t="shared" si="50"/>
        <v>2.8938783783784077</v>
      </c>
      <c r="V258" s="27">
        <f t="shared" si="51"/>
        <v>-3.1734999999999998</v>
      </c>
    </row>
    <row r="259" spans="1:22" s="5" customFormat="1">
      <c r="A259" s="5">
        <v>150</v>
      </c>
      <c r="B259" s="17">
        <v>160</v>
      </c>
      <c r="C259" s="5">
        <v>121.045</v>
      </c>
      <c r="D259" s="5">
        <v>124.10899999999999</v>
      </c>
      <c r="E259" s="5">
        <f t="shared" si="55"/>
        <v>114.846</v>
      </c>
      <c r="F259" s="25">
        <f>360-(114.846+D259+C259)</f>
        <v>0</v>
      </c>
      <c r="G259" s="30">
        <v>1.3440000000000001</v>
      </c>
      <c r="H259" s="6" t="s">
        <v>11</v>
      </c>
      <c r="I259" s="6">
        <v>-2.7120000000000002</v>
      </c>
      <c r="J259" s="7">
        <v>177.52099999999999</v>
      </c>
      <c r="K259" s="17">
        <v>177.25700000000001</v>
      </c>
      <c r="L259" s="3">
        <f t="shared" ref="L259:L298" si="60">H259-J259</f>
        <v>-180.03099999999998</v>
      </c>
      <c r="M259" s="3">
        <f t="shared" si="56"/>
        <v>-3.099999999997749E-2</v>
      </c>
      <c r="N259" s="3">
        <f t="shared" si="57"/>
        <v>359.96900000000005</v>
      </c>
      <c r="O259" s="27">
        <f t="shared" si="58"/>
        <v>-3.0999999999949068E-2</v>
      </c>
      <c r="P259" s="17">
        <f t="shared" ref="P259:P298" si="61">O259-$O$299</f>
        <v>-0.55599999999995009</v>
      </c>
      <c r="Q259" s="3">
        <f t="shared" ref="Q259:Q298" si="62">I259-J259</f>
        <v>-180.23299999999998</v>
      </c>
      <c r="R259" s="3">
        <f t="shared" si="52"/>
        <v>-0.23299999999997567</v>
      </c>
      <c r="S259" s="3">
        <f t="shared" si="53"/>
        <v>359.76700000000005</v>
      </c>
      <c r="T259" s="27">
        <f t="shared" si="54"/>
        <v>-0.23299999999994725</v>
      </c>
      <c r="U259" s="17">
        <f t="shared" ref="U259:U298" si="63">T259-$T$299</f>
        <v>3.1958783783784286</v>
      </c>
      <c r="V259" s="27">
        <f t="shared" ref="V259:V298" si="64">(H259+I259)/2</f>
        <v>-2.6109999999999998</v>
      </c>
    </row>
    <row r="260" spans="1:22" s="5" customFormat="1">
      <c r="A260" s="5">
        <v>150</v>
      </c>
      <c r="B260" s="17">
        <v>170</v>
      </c>
      <c r="C260" s="5">
        <v>121.1</v>
      </c>
      <c r="D260" s="5">
        <v>124.023</v>
      </c>
      <c r="E260" s="5">
        <f t="shared" si="55"/>
        <v>114.87700000000001</v>
      </c>
      <c r="F260" s="25">
        <f>360-(114.876+D260+C260)</f>
        <v>9.9999999997635314E-4</v>
      </c>
      <c r="G260" s="30">
        <v>1.3440000000000001</v>
      </c>
      <c r="H260" s="6" t="s">
        <v>12</v>
      </c>
      <c r="I260" s="6">
        <v>-2.226</v>
      </c>
      <c r="J260" s="7">
        <v>179.999</v>
      </c>
      <c r="K260" s="17">
        <v>177.48699999999999</v>
      </c>
      <c r="L260" s="3">
        <f t="shared" si="60"/>
        <v>-180.28700000000001</v>
      </c>
      <c r="M260" s="3">
        <f t="shared" si="56"/>
        <v>-0.28700000000000614</v>
      </c>
      <c r="N260" s="3">
        <f t="shared" si="57"/>
        <v>359.71299999999997</v>
      </c>
      <c r="O260" s="27">
        <f t="shared" si="58"/>
        <v>-0.28700000000003456</v>
      </c>
      <c r="P260" s="17">
        <f t="shared" si="61"/>
        <v>-0.81200000000003558</v>
      </c>
      <c r="Q260" s="3">
        <f t="shared" si="62"/>
        <v>-182.22499999999999</v>
      </c>
      <c r="R260" s="3">
        <f t="shared" ref="R260:R298" si="65">Q260+180</f>
        <v>-2.2249999999999943</v>
      </c>
      <c r="S260" s="3">
        <f t="shared" ref="S260:S298" si="66">MOD(R260,360)</f>
        <v>357.77499999999998</v>
      </c>
      <c r="T260" s="27">
        <f t="shared" ref="T260:T298" si="67">IF(S260&gt;=180,S260-360,S260)</f>
        <v>-2.2250000000000227</v>
      </c>
      <c r="U260" s="17">
        <f t="shared" si="63"/>
        <v>1.2038783783783531</v>
      </c>
      <c r="V260" s="27">
        <f t="shared" si="64"/>
        <v>-1.2569999999999999</v>
      </c>
    </row>
    <row r="261" spans="1:22" s="11" customFormat="1" ht="19" thickBot="1">
      <c r="A261" s="11">
        <v>150</v>
      </c>
      <c r="B261" s="18">
        <v>180</v>
      </c>
      <c r="C261" s="11">
        <v>121.081</v>
      </c>
      <c r="D261" s="11">
        <v>123.95399999999999</v>
      </c>
      <c r="E261" s="11">
        <f t="shared" si="55"/>
        <v>114.965</v>
      </c>
      <c r="F261" s="26">
        <f>360-(114.964+D261+C261)</f>
        <v>9.9999999997635314E-4</v>
      </c>
      <c r="G261" s="31">
        <v>1.343</v>
      </c>
      <c r="H261" s="13">
        <v>1.829</v>
      </c>
      <c r="I261" s="13">
        <v>-2.1579999999999999</v>
      </c>
      <c r="J261" s="12" t="s">
        <v>10</v>
      </c>
      <c r="K261" s="18">
        <v>177.45099999999999</v>
      </c>
      <c r="L261" s="11">
        <f t="shared" si="60"/>
        <v>179.608</v>
      </c>
      <c r="M261" s="11">
        <f t="shared" si="56"/>
        <v>359.608</v>
      </c>
      <c r="N261" s="11">
        <f t="shared" si="57"/>
        <v>359.608</v>
      </c>
      <c r="O261" s="28">
        <f t="shared" si="58"/>
        <v>-0.39199999999999591</v>
      </c>
      <c r="P261" s="18">
        <f t="shared" si="61"/>
        <v>-0.91699999999999693</v>
      </c>
      <c r="Q261" s="11">
        <f t="shared" si="62"/>
        <v>175.62100000000001</v>
      </c>
      <c r="R261" s="11">
        <f t="shared" si="65"/>
        <v>355.62099999999998</v>
      </c>
      <c r="S261" s="11">
        <f t="shared" si="66"/>
        <v>355.62099999999998</v>
      </c>
      <c r="T261" s="28">
        <f t="shared" si="67"/>
        <v>-4.3790000000000191</v>
      </c>
      <c r="U261" s="18">
        <f t="shared" si="63"/>
        <v>-0.95012162162164326</v>
      </c>
      <c r="V261" s="28">
        <f t="shared" si="64"/>
        <v>-0.16449999999999998</v>
      </c>
    </row>
    <row r="262" spans="1:22" s="5" customFormat="1" ht="19" thickTop="1">
      <c r="A262" s="5">
        <v>180</v>
      </c>
      <c r="B262" s="17">
        <v>-180</v>
      </c>
      <c r="C262" s="5">
        <v>121.005</v>
      </c>
      <c r="D262" s="5">
        <v>124.026</v>
      </c>
      <c r="E262" s="5">
        <f t="shared" si="55"/>
        <v>114.96899999999999</v>
      </c>
      <c r="F262" s="25">
        <f>360-(114.966+D262+C262)</f>
        <v>3.0000000000427463E-3</v>
      </c>
      <c r="G262" s="30">
        <v>1.343</v>
      </c>
      <c r="H262" s="9">
        <v>1.3879999999999999</v>
      </c>
      <c r="I262" s="9">
        <v>-2.403</v>
      </c>
      <c r="J262" s="8" t="s">
        <v>75</v>
      </c>
      <c r="K262" s="21">
        <v>178.137</v>
      </c>
      <c r="L262" s="3">
        <f t="shared" si="60"/>
        <v>180.53900000000002</v>
      </c>
      <c r="M262" s="3">
        <f t="shared" si="56"/>
        <v>360.53899999999999</v>
      </c>
      <c r="N262" s="3">
        <f t="shared" si="57"/>
        <v>0.53899999999998727</v>
      </c>
      <c r="O262" s="27">
        <f t="shared" si="58"/>
        <v>0.53899999999998727</v>
      </c>
      <c r="P262" s="17">
        <f t="shared" si="61"/>
        <v>1.3999999999986246E-2</v>
      </c>
      <c r="Q262" s="3">
        <f t="shared" si="62"/>
        <v>176.74800000000002</v>
      </c>
      <c r="R262" s="3">
        <f t="shared" si="65"/>
        <v>356.74800000000005</v>
      </c>
      <c r="S262" s="3">
        <f t="shared" si="66"/>
        <v>356.74800000000005</v>
      </c>
      <c r="T262" s="27">
        <f t="shared" si="67"/>
        <v>-3.2519999999999527</v>
      </c>
      <c r="U262" s="17">
        <f t="shared" si="63"/>
        <v>0.17687837837842313</v>
      </c>
      <c r="V262" s="27">
        <f t="shared" si="64"/>
        <v>-0.50750000000000006</v>
      </c>
    </row>
    <row r="263" spans="1:22" s="5" customFormat="1">
      <c r="A263" s="5">
        <v>180</v>
      </c>
      <c r="B263" s="17">
        <f>B262+10</f>
        <v>-170</v>
      </c>
      <c r="C263" s="5">
        <v>120.88500000000001</v>
      </c>
      <c r="D263" s="5">
        <v>124.02500000000001</v>
      </c>
      <c r="E263" s="5">
        <f t="shared" si="55"/>
        <v>115.08999999999997</v>
      </c>
      <c r="F263" s="25">
        <f>360-(115.09+D263+C263)</f>
        <v>0</v>
      </c>
      <c r="G263" s="30">
        <v>1.343</v>
      </c>
      <c r="H263" s="9">
        <v>3.5369999999999999</v>
      </c>
      <c r="I263" s="9">
        <v>-1.6819999999999999</v>
      </c>
      <c r="J263" s="8" t="s">
        <v>76</v>
      </c>
      <c r="K263" s="21">
        <v>178.51400000000001</v>
      </c>
      <c r="L263" s="3">
        <f t="shared" si="60"/>
        <v>180.196</v>
      </c>
      <c r="M263" s="3">
        <f t="shared" si="56"/>
        <v>360.19600000000003</v>
      </c>
      <c r="N263" s="3">
        <f t="shared" si="57"/>
        <v>0.19600000000002638</v>
      </c>
      <c r="O263" s="27">
        <f t="shared" si="58"/>
        <v>0.19600000000002638</v>
      </c>
      <c r="P263" s="17">
        <f t="shared" si="61"/>
        <v>-0.32899999999997465</v>
      </c>
      <c r="Q263" s="3">
        <f t="shared" si="62"/>
        <v>174.977</v>
      </c>
      <c r="R263" s="3">
        <f t="shared" si="65"/>
        <v>354.97699999999998</v>
      </c>
      <c r="S263" s="3">
        <f t="shared" si="66"/>
        <v>354.97699999999998</v>
      </c>
      <c r="T263" s="27">
        <f t="shared" si="67"/>
        <v>-5.0230000000000246</v>
      </c>
      <c r="U263" s="17">
        <f t="shared" si="63"/>
        <v>-1.5941216216216487</v>
      </c>
      <c r="V263" s="27">
        <f t="shared" si="64"/>
        <v>0.92749999999999999</v>
      </c>
    </row>
    <row r="264" spans="1:22" s="5" customFormat="1">
      <c r="A264" s="5">
        <v>180</v>
      </c>
      <c r="B264" s="17">
        <f t="shared" ref="B264:B298" si="68">B263+10</f>
        <v>-160</v>
      </c>
      <c r="C264" s="5">
        <v>120.71</v>
      </c>
      <c r="D264" s="5">
        <v>124.02500000000001</v>
      </c>
      <c r="E264" s="5">
        <f t="shared" si="55"/>
        <v>115.26499999999999</v>
      </c>
      <c r="F264" s="25">
        <f>360-(115.265+D264+C264)</f>
        <v>0</v>
      </c>
      <c r="G264" s="30">
        <v>1.343</v>
      </c>
      <c r="H264" s="9">
        <v>5.375</v>
      </c>
      <c r="I264" s="9">
        <v>-1.4039999999999999</v>
      </c>
      <c r="J264" s="8" t="s">
        <v>77</v>
      </c>
      <c r="K264" s="21">
        <v>178.809</v>
      </c>
      <c r="L264" s="3">
        <f t="shared" si="60"/>
        <v>180.21199999999999</v>
      </c>
      <c r="M264" s="3">
        <f t="shared" si="56"/>
        <v>360.21199999999999</v>
      </c>
      <c r="N264" s="3">
        <f t="shared" si="57"/>
        <v>0.21199999999998909</v>
      </c>
      <c r="O264" s="27">
        <f t="shared" si="58"/>
        <v>0.21199999999998909</v>
      </c>
      <c r="P264" s="17">
        <f t="shared" si="61"/>
        <v>-0.31300000000001194</v>
      </c>
      <c r="Q264" s="3">
        <f t="shared" si="62"/>
        <v>173.43299999999999</v>
      </c>
      <c r="R264" s="3">
        <f t="shared" si="65"/>
        <v>353.43299999999999</v>
      </c>
      <c r="S264" s="3">
        <f t="shared" si="66"/>
        <v>353.43299999999999</v>
      </c>
      <c r="T264" s="27">
        <f t="shared" si="67"/>
        <v>-6.5670000000000073</v>
      </c>
      <c r="U264" s="17">
        <f t="shared" si="63"/>
        <v>-3.1381216216216314</v>
      </c>
      <c r="V264" s="27">
        <f t="shared" si="64"/>
        <v>1.9855</v>
      </c>
    </row>
    <row r="265" spans="1:22" s="5" customFormat="1">
      <c r="A265" s="5">
        <v>180</v>
      </c>
      <c r="B265" s="17">
        <f t="shared" si="68"/>
        <v>-150</v>
      </c>
      <c r="C265" s="5">
        <v>120.473</v>
      </c>
      <c r="D265" s="5">
        <v>124.212</v>
      </c>
      <c r="E265" s="5">
        <f t="shared" si="55"/>
        <v>115.315</v>
      </c>
      <c r="F265" s="25">
        <f>360-(115.313+D265+C265)</f>
        <v>2.0000000000095497E-3</v>
      </c>
      <c r="G265" s="30">
        <v>1.343</v>
      </c>
      <c r="H265" s="9">
        <v>5.3470000000000004</v>
      </c>
      <c r="I265" s="9">
        <v>-0.74099999999999999</v>
      </c>
      <c r="J265" s="8" t="s">
        <v>78</v>
      </c>
      <c r="K265" s="21">
        <v>179.76400000000001</v>
      </c>
      <c r="L265" s="3">
        <f t="shared" si="60"/>
        <v>180.505</v>
      </c>
      <c r="M265" s="3">
        <f t="shared" si="56"/>
        <v>360.505</v>
      </c>
      <c r="N265" s="3">
        <f t="shared" si="57"/>
        <v>0.50499999999999545</v>
      </c>
      <c r="O265" s="27">
        <f t="shared" si="58"/>
        <v>0.50499999999999545</v>
      </c>
      <c r="P265" s="17">
        <f t="shared" si="61"/>
        <v>-2.0000000000005569E-2</v>
      </c>
      <c r="Q265" s="3">
        <f t="shared" si="62"/>
        <v>174.41699999999997</v>
      </c>
      <c r="R265" s="3">
        <f t="shared" si="65"/>
        <v>354.41699999999997</v>
      </c>
      <c r="S265" s="3">
        <f t="shared" si="66"/>
        <v>354.41699999999997</v>
      </c>
      <c r="T265" s="27">
        <f t="shared" si="67"/>
        <v>-5.5830000000000268</v>
      </c>
      <c r="U265" s="17">
        <f t="shared" si="63"/>
        <v>-2.154121621621651</v>
      </c>
      <c r="V265" s="27">
        <f t="shared" si="64"/>
        <v>2.3030000000000004</v>
      </c>
    </row>
    <row r="266" spans="1:22" s="5" customFormat="1">
      <c r="A266" s="5">
        <v>180</v>
      </c>
      <c r="B266" s="17">
        <f t="shared" si="68"/>
        <v>-140</v>
      </c>
      <c r="C266" s="5">
        <v>120.227</v>
      </c>
      <c r="D266" s="5">
        <v>124.117</v>
      </c>
      <c r="E266" s="5">
        <f t="shared" si="55"/>
        <v>115.65600000000001</v>
      </c>
      <c r="F266" s="25">
        <f>360-(115.646+D266+C266)</f>
        <v>9.9999999999909051E-3</v>
      </c>
      <c r="G266" s="30">
        <v>1.343</v>
      </c>
      <c r="H266" s="9">
        <v>5.9139999999999997</v>
      </c>
      <c r="I266" s="9">
        <v>-1.59</v>
      </c>
      <c r="J266" s="8" t="s">
        <v>79</v>
      </c>
      <c r="K266" s="21">
        <v>179.56800000000001</v>
      </c>
      <c r="L266" s="3">
        <f t="shared" si="60"/>
        <v>181.15799999999999</v>
      </c>
      <c r="M266" s="3">
        <f t="shared" si="56"/>
        <v>361.15800000000002</v>
      </c>
      <c r="N266" s="3">
        <f t="shared" si="57"/>
        <v>1.1580000000000155</v>
      </c>
      <c r="O266" s="27">
        <f t="shared" si="58"/>
        <v>1.1580000000000155</v>
      </c>
      <c r="P266" s="17">
        <f t="shared" si="61"/>
        <v>0.63300000000001444</v>
      </c>
      <c r="Q266" s="3">
        <f t="shared" si="62"/>
        <v>173.654</v>
      </c>
      <c r="R266" s="3">
        <f t="shared" si="65"/>
        <v>353.654</v>
      </c>
      <c r="S266" s="3">
        <f t="shared" si="66"/>
        <v>353.654</v>
      </c>
      <c r="T266" s="27">
        <f t="shared" si="67"/>
        <v>-6.3460000000000036</v>
      </c>
      <c r="U266" s="17">
        <f t="shared" si="63"/>
        <v>-2.9171216216216278</v>
      </c>
      <c r="V266" s="27">
        <f t="shared" si="64"/>
        <v>2.1619999999999999</v>
      </c>
    </row>
    <row r="267" spans="1:22" s="5" customFormat="1">
      <c r="A267" s="5">
        <v>180</v>
      </c>
      <c r="B267" s="17">
        <f t="shared" si="68"/>
        <v>-130</v>
      </c>
      <c r="C267" s="5">
        <v>120.01300000000001</v>
      </c>
      <c r="D267" s="5">
        <v>124.062</v>
      </c>
      <c r="E267" s="5">
        <f t="shared" si="55"/>
        <v>115.92500000000001</v>
      </c>
      <c r="F267" s="25">
        <f>360-(115.898+D267+C267)</f>
        <v>2.7000000000043656E-2</v>
      </c>
      <c r="G267" s="30">
        <v>1.3440000000000001</v>
      </c>
      <c r="H267" s="9">
        <v>5.7569999999999997</v>
      </c>
      <c r="I267" s="9">
        <v>-2.6739999999999999</v>
      </c>
      <c r="J267" s="8" t="s">
        <v>80</v>
      </c>
      <c r="K267" s="21">
        <v>179.21199999999999</v>
      </c>
      <c r="L267" s="3">
        <f t="shared" si="60"/>
        <v>181.887</v>
      </c>
      <c r="M267" s="3">
        <f t="shared" si="56"/>
        <v>361.887</v>
      </c>
      <c r="N267" s="3">
        <f t="shared" si="57"/>
        <v>1.8870000000000005</v>
      </c>
      <c r="O267" s="27">
        <f t="shared" si="58"/>
        <v>1.8870000000000005</v>
      </c>
      <c r="P267" s="17">
        <f t="shared" si="61"/>
        <v>1.3619999999999994</v>
      </c>
      <c r="Q267" s="3">
        <f t="shared" si="62"/>
        <v>173.45599999999999</v>
      </c>
      <c r="R267" s="3">
        <f t="shared" si="65"/>
        <v>353.45600000000002</v>
      </c>
      <c r="S267" s="3">
        <f t="shared" si="66"/>
        <v>353.45600000000002</v>
      </c>
      <c r="T267" s="27">
        <f t="shared" si="67"/>
        <v>-6.5439999999999827</v>
      </c>
      <c r="U267" s="17">
        <f t="shared" si="63"/>
        <v>-3.1151216216216069</v>
      </c>
      <c r="V267" s="27">
        <f t="shared" si="64"/>
        <v>1.5414999999999999</v>
      </c>
    </row>
    <row r="268" spans="1:22" s="5" customFormat="1">
      <c r="A268" s="5">
        <v>180</v>
      </c>
      <c r="B268" s="17">
        <f t="shared" si="68"/>
        <v>-120</v>
      </c>
      <c r="C268" s="5">
        <v>119.95399999999999</v>
      </c>
      <c r="D268" s="5">
        <v>123.928</v>
      </c>
      <c r="E268" s="5">
        <f t="shared" si="55"/>
        <v>116.11799999999999</v>
      </c>
      <c r="F268" s="25">
        <f>360-(116.064+D268+C268)</f>
        <v>5.4000000000030468E-2</v>
      </c>
      <c r="G268" s="30">
        <v>1.3440000000000001</v>
      </c>
      <c r="H268" s="9">
        <v>5.1059999999999999</v>
      </c>
      <c r="I268" s="9">
        <v>-4.05</v>
      </c>
      <c r="J268" s="8" t="s">
        <v>81</v>
      </c>
      <c r="K268" s="21">
        <v>178.626</v>
      </c>
      <c r="L268" s="3">
        <f t="shared" si="60"/>
        <v>182.67599999999999</v>
      </c>
      <c r="M268" s="3">
        <f t="shared" si="56"/>
        <v>362.67599999999999</v>
      </c>
      <c r="N268" s="3">
        <f t="shared" si="57"/>
        <v>2.6759999999999877</v>
      </c>
      <c r="O268" s="27">
        <f t="shared" si="58"/>
        <v>2.6759999999999877</v>
      </c>
      <c r="P268" s="17">
        <f t="shared" si="61"/>
        <v>2.1509999999999865</v>
      </c>
      <c r="Q268" s="3">
        <f t="shared" si="62"/>
        <v>173.51999999999998</v>
      </c>
      <c r="R268" s="3">
        <f t="shared" si="65"/>
        <v>353.52</v>
      </c>
      <c r="S268" s="3">
        <f t="shared" si="66"/>
        <v>353.52</v>
      </c>
      <c r="T268" s="27">
        <f t="shared" si="67"/>
        <v>-6.4800000000000182</v>
      </c>
      <c r="U268" s="17">
        <f t="shared" si="63"/>
        <v>-3.0511216216216424</v>
      </c>
      <c r="V268" s="27">
        <f t="shared" si="64"/>
        <v>0.52800000000000002</v>
      </c>
    </row>
    <row r="269" spans="1:22" s="5" customFormat="1">
      <c r="A269" s="5">
        <v>180</v>
      </c>
      <c r="B269" s="17">
        <f t="shared" si="68"/>
        <v>-110</v>
      </c>
      <c r="C269" s="5">
        <v>120.116</v>
      </c>
      <c r="D269" s="5">
        <v>123.934</v>
      </c>
      <c r="E269" s="5">
        <f t="shared" si="55"/>
        <v>115.94999999999999</v>
      </c>
      <c r="F269" s="25">
        <f>360-(115.887+D269+C269)</f>
        <v>6.2999999999988177E-2</v>
      </c>
      <c r="G269" s="30">
        <v>1.345</v>
      </c>
      <c r="H269" s="9">
        <v>3.35</v>
      </c>
      <c r="I269" s="9">
        <v>-4.3330000000000002</v>
      </c>
      <c r="J269" s="8" t="s">
        <v>82</v>
      </c>
      <c r="K269" s="21">
        <v>178.54499999999999</v>
      </c>
      <c r="L269" s="3">
        <f t="shared" si="60"/>
        <v>182.87799999999999</v>
      </c>
      <c r="M269" s="3">
        <f t="shared" si="56"/>
        <v>362.87799999999999</v>
      </c>
      <c r="N269" s="3">
        <f t="shared" si="57"/>
        <v>2.8779999999999859</v>
      </c>
      <c r="O269" s="27">
        <f t="shared" si="58"/>
        <v>2.8779999999999859</v>
      </c>
      <c r="P269" s="17">
        <f t="shared" si="61"/>
        <v>2.3529999999999847</v>
      </c>
      <c r="Q269" s="3">
        <f t="shared" si="62"/>
        <v>175.19499999999999</v>
      </c>
      <c r="R269" s="3">
        <f t="shared" si="65"/>
        <v>355.19499999999999</v>
      </c>
      <c r="S269" s="3">
        <f t="shared" si="66"/>
        <v>355.19499999999999</v>
      </c>
      <c r="T269" s="27">
        <f t="shared" si="67"/>
        <v>-4.8050000000000068</v>
      </c>
      <c r="U269" s="17">
        <f t="shared" si="63"/>
        <v>-1.376121621621631</v>
      </c>
      <c r="V269" s="27">
        <f t="shared" si="64"/>
        <v>-0.49150000000000005</v>
      </c>
    </row>
    <row r="270" spans="1:22" s="5" customFormat="1">
      <c r="A270" s="5">
        <v>180</v>
      </c>
      <c r="B270" s="17">
        <f t="shared" si="68"/>
        <v>-100</v>
      </c>
      <c r="C270" s="5">
        <v>120.42400000000001</v>
      </c>
      <c r="D270" s="5">
        <v>123.879</v>
      </c>
      <c r="E270" s="5">
        <f t="shared" si="55"/>
        <v>115.697</v>
      </c>
      <c r="F270" s="25">
        <f>360-(115.638+D270+C270)</f>
        <v>5.8999999999969077E-2</v>
      </c>
      <c r="G270" s="30">
        <v>1.3460000000000001</v>
      </c>
      <c r="H270" s="9">
        <v>2.4700000000000002</v>
      </c>
      <c r="I270" s="9">
        <v>-4.7149999999999999</v>
      </c>
      <c r="J270" s="9">
        <v>179.66499999999999</v>
      </c>
      <c r="K270" s="21">
        <v>178.09</v>
      </c>
      <c r="L270" s="3">
        <f t="shared" si="60"/>
        <v>-177.19499999999999</v>
      </c>
      <c r="M270" s="3">
        <f t="shared" si="56"/>
        <v>2.8050000000000068</v>
      </c>
      <c r="N270" s="3">
        <f t="shared" si="57"/>
        <v>2.8050000000000068</v>
      </c>
      <c r="O270" s="27">
        <f t="shared" si="58"/>
        <v>2.8050000000000068</v>
      </c>
      <c r="P270" s="17">
        <f t="shared" si="61"/>
        <v>2.2800000000000056</v>
      </c>
      <c r="Q270" s="3">
        <f t="shared" si="62"/>
        <v>-184.38</v>
      </c>
      <c r="R270" s="3">
        <f t="shared" si="65"/>
        <v>-4.3799999999999955</v>
      </c>
      <c r="S270" s="3">
        <f t="shared" si="66"/>
        <v>355.62</v>
      </c>
      <c r="T270" s="27">
        <f t="shared" si="67"/>
        <v>-4.3799999999999955</v>
      </c>
      <c r="U270" s="17">
        <f t="shared" si="63"/>
        <v>-0.95112162162161962</v>
      </c>
      <c r="V270" s="27">
        <f t="shared" si="64"/>
        <v>-1.1224999999999998</v>
      </c>
    </row>
    <row r="271" spans="1:22" s="5" customFormat="1">
      <c r="A271" s="5">
        <v>180</v>
      </c>
      <c r="B271" s="17">
        <f t="shared" si="68"/>
        <v>-90</v>
      </c>
      <c r="C271" s="5">
        <v>120.767</v>
      </c>
      <c r="D271" s="5">
        <v>123.873</v>
      </c>
      <c r="E271" s="5">
        <f t="shared" si="55"/>
        <v>115.36000000000001</v>
      </c>
      <c r="F271" s="25">
        <f>360-(115.321+D271+C271)</f>
        <v>3.8999999999987267E-2</v>
      </c>
      <c r="G271" s="30">
        <v>1.3460000000000001</v>
      </c>
      <c r="H271" s="9">
        <v>0.97599999999999998</v>
      </c>
      <c r="I271" s="9">
        <v>-4.7030000000000003</v>
      </c>
      <c r="J271" s="9">
        <v>178.71299999999999</v>
      </c>
      <c r="K271" s="21">
        <v>177.56</v>
      </c>
      <c r="L271" s="3">
        <f t="shared" si="60"/>
        <v>-177.73699999999999</v>
      </c>
      <c r="M271" s="3">
        <f t="shared" si="56"/>
        <v>2.2630000000000052</v>
      </c>
      <c r="N271" s="3">
        <f t="shared" si="57"/>
        <v>2.2630000000000052</v>
      </c>
      <c r="O271" s="27">
        <f t="shared" si="58"/>
        <v>2.2630000000000052</v>
      </c>
      <c r="P271" s="17">
        <f t="shared" si="61"/>
        <v>1.7380000000000042</v>
      </c>
      <c r="Q271" s="3">
        <f t="shared" si="62"/>
        <v>-183.416</v>
      </c>
      <c r="R271" s="3">
        <f t="shared" si="65"/>
        <v>-3.4159999999999968</v>
      </c>
      <c r="S271" s="3">
        <f t="shared" si="66"/>
        <v>356.584</v>
      </c>
      <c r="T271" s="27">
        <f t="shared" si="67"/>
        <v>-3.4159999999999968</v>
      </c>
      <c r="U271" s="17">
        <f t="shared" si="63"/>
        <v>1.2878378378379018E-2</v>
      </c>
      <c r="V271" s="27">
        <f t="shared" si="64"/>
        <v>-1.8635000000000002</v>
      </c>
    </row>
    <row r="272" spans="1:22" s="5" customFormat="1">
      <c r="A272" s="5">
        <v>180</v>
      </c>
      <c r="B272" s="17">
        <f t="shared" si="68"/>
        <v>-80</v>
      </c>
      <c r="C272" s="5">
        <v>120.97</v>
      </c>
      <c r="D272" s="5">
        <v>123.849</v>
      </c>
      <c r="E272" s="5">
        <f t="shared" si="55"/>
        <v>115.18099999999998</v>
      </c>
      <c r="F272" s="25">
        <f>360-(115.167+D272+C272)</f>
        <v>1.4000000000010004E-2</v>
      </c>
      <c r="G272" s="30">
        <v>1.347</v>
      </c>
      <c r="H272" s="9">
        <v>0.40200000000000002</v>
      </c>
      <c r="I272" s="9">
        <v>-4.2539999999999996</v>
      </c>
      <c r="J272" s="9">
        <v>179.02199999999999</v>
      </c>
      <c r="K272" s="21">
        <v>177.125</v>
      </c>
      <c r="L272" s="3">
        <f t="shared" si="60"/>
        <v>-178.62</v>
      </c>
      <c r="M272" s="3">
        <f t="shared" si="56"/>
        <v>1.3799999999999955</v>
      </c>
      <c r="N272" s="3">
        <f t="shared" si="57"/>
        <v>1.3799999999999955</v>
      </c>
      <c r="O272" s="27">
        <f t="shared" si="58"/>
        <v>1.3799999999999955</v>
      </c>
      <c r="P272" s="17">
        <f t="shared" si="61"/>
        <v>0.85499999999999443</v>
      </c>
      <c r="Q272" s="3">
        <f t="shared" si="62"/>
        <v>-183.27599999999998</v>
      </c>
      <c r="R272" s="3">
        <f t="shared" si="65"/>
        <v>-3.275999999999982</v>
      </c>
      <c r="S272" s="3">
        <f t="shared" si="66"/>
        <v>356.72400000000005</v>
      </c>
      <c r="T272" s="27">
        <f t="shared" si="67"/>
        <v>-3.2759999999999536</v>
      </c>
      <c r="U272" s="17">
        <f t="shared" si="63"/>
        <v>0.15287837837842222</v>
      </c>
      <c r="V272" s="27">
        <f t="shared" si="64"/>
        <v>-1.9259999999999997</v>
      </c>
    </row>
    <row r="273" spans="1:22" s="5" customFormat="1">
      <c r="A273" s="5">
        <v>180</v>
      </c>
      <c r="B273" s="17">
        <f t="shared" si="68"/>
        <v>-70</v>
      </c>
      <c r="C273" s="5">
        <v>121.053</v>
      </c>
      <c r="D273" s="5">
        <v>123.84699999999999</v>
      </c>
      <c r="E273" s="5">
        <f t="shared" si="55"/>
        <v>115.10000000000002</v>
      </c>
      <c r="F273" s="25">
        <f>360-(115.098+D273+C273)</f>
        <v>2.0000000000095497E-3</v>
      </c>
      <c r="G273" s="30">
        <v>1.347</v>
      </c>
      <c r="H273" s="8" t="s">
        <v>83</v>
      </c>
      <c r="I273" s="8">
        <v>-3.9670000000000001</v>
      </c>
      <c r="J273" s="9">
        <v>179.15100000000001</v>
      </c>
      <c r="K273" s="21">
        <v>176.50200000000001</v>
      </c>
      <c r="L273" s="3">
        <f t="shared" si="60"/>
        <v>-179.53100000000001</v>
      </c>
      <c r="M273" s="3">
        <f t="shared" si="56"/>
        <v>0.46899999999999409</v>
      </c>
      <c r="N273" s="3">
        <f t="shared" si="57"/>
        <v>0.46899999999999409</v>
      </c>
      <c r="O273" s="27">
        <f t="shared" si="58"/>
        <v>0.46899999999999409</v>
      </c>
      <c r="P273" s="17">
        <f t="shared" si="61"/>
        <v>-5.6000000000006933E-2</v>
      </c>
      <c r="Q273" s="3">
        <f t="shared" si="62"/>
        <v>-183.11800000000002</v>
      </c>
      <c r="R273" s="3">
        <f t="shared" si="65"/>
        <v>-3.1180000000000234</v>
      </c>
      <c r="S273" s="3">
        <f t="shared" si="66"/>
        <v>356.88199999999995</v>
      </c>
      <c r="T273" s="27">
        <f t="shared" si="67"/>
        <v>-3.1180000000000518</v>
      </c>
      <c r="U273" s="17">
        <f t="shared" si="63"/>
        <v>0.31087837837832399</v>
      </c>
      <c r="V273" s="27">
        <f t="shared" si="64"/>
        <v>-2.1735000000000002</v>
      </c>
    </row>
    <row r="274" spans="1:22" s="5" customFormat="1">
      <c r="A274" s="5">
        <v>180</v>
      </c>
      <c r="B274" s="17">
        <f t="shared" si="68"/>
        <v>-60</v>
      </c>
      <c r="C274" s="5">
        <v>120.928</v>
      </c>
      <c r="D274" s="5">
        <v>123.795</v>
      </c>
      <c r="E274" s="5">
        <f t="shared" si="55"/>
        <v>115.27699999999999</v>
      </c>
      <c r="F274" s="25">
        <f>360-(115.274+D274+C274)</f>
        <v>2.9999999999859028E-3</v>
      </c>
      <c r="G274" s="30">
        <v>1.3480000000000001</v>
      </c>
      <c r="H274" s="9">
        <v>7.9000000000000001E-2</v>
      </c>
      <c r="I274" s="9">
        <v>-3.4750000000000001</v>
      </c>
      <c r="J274" s="8" t="s">
        <v>84</v>
      </c>
      <c r="K274" s="21">
        <v>175.97200000000001</v>
      </c>
      <c r="L274" s="3">
        <f t="shared" si="60"/>
        <v>179.447</v>
      </c>
      <c r="M274" s="3">
        <f t="shared" si="56"/>
        <v>359.447</v>
      </c>
      <c r="N274" s="3">
        <f t="shared" si="57"/>
        <v>359.447</v>
      </c>
      <c r="O274" s="27">
        <f t="shared" si="58"/>
        <v>-0.55299999999999727</v>
      </c>
      <c r="P274" s="17">
        <f t="shared" si="61"/>
        <v>-1.0779999999999983</v>
      </c>
      <c r="Q274" s="3">
        <f t="shared" si="62"/>
        <v>175.893</v>
      </c>
      <c r="R274" s="3">
        <f t="shared" si="65"/>
        <v>355.89300000000003</v>
      </c>
      <c r="S274" s="3">
        <f t="shared" si="66"/>
        <v>355.89300000000003</v>
      </c>
      <c r="T274" s="27">
        <f t="shared" si="67"/>
        <v>-4.1069999999999709</v>
      </c>
      <c r="U274" s="17">
        <f t="shared" si="63"/>
        <v>-0.67812162162159506</v>
      </c>
      <c r="V274" s="27">
        <f t="shared" si="64"/>
        <v>-1.698</v>
      </c>
    </row>
    <row r="275" spans="1:22" s="5" customFormat="1">
      <c r="A275" s="5">
        <v>180</v>
      </c>
      <c r="B275" s="17">
        <f t="shared" si="68"/>
        <v>-50</v>
      </c>
      <c r="C275" s="5">
        <v>120.575</v>
      </c>
      <c r="D275" s="5">
        <v>123.764</v>
      </c>
      <c r="E275" s="5">
        <f t="shared" si="55"/>
        <v>115.661</v>
      </c>
      <c r="F275" s="25">
        <f>360-(115.65+D275+C275)</f>
        <v>1.1000000000024102E-2</v>
      </c>
      <c r="G275" s="30">
        <v>1.3480000000000001</v>
      </c>
      <c r="H275" s="9">
        <v>0.64800000000000002</v>
      </c>
      <c r="I275" s="9">
        <v>-3.57</v>
      </c>
      <c r="J275" s="8" t="s">
        <v>85</v>
      </c>
      <c r="K275" s="21">
        <v>175.20099999999999</v>
      </c>
      <c r="L275" s="3">
        <f t="shared" si="60"/>
        <v>178.77099999999999</v>
      </c>
      <c r="M275" s="3">
        <f t="shared" si="56"/>
        <v>358.77099999999996</v>
      </c>
      <c r="N275" s="3">
        <f t="shared" si="57"/>
        <v>358.77099999999996</v>
      </c>
      <c r="O275" s="27">
        <f t="shared" si="58"/>
        <v>-1.2290000000000418</v>
      </c>
      <c r="P275" s="17">
        <f t="shared" si="61"/>
        <v>-1.7540000000000429</v>
      </c>
      <c r="Q275" s="3">
        <f t="shared" si="62"/>
        <v>174.553</v>
      </c>
      <c r="R275" s="3">
        <f t="shared" si="65"/>
        <v>354.553</v>
      </c>
      <c r="S275" s="3">
        <f t="shared" si="66"/>
        <v>354.553</v>
      </c>
      <c r="T275" s="27">
        <f t="shared" si="67"/>
        <v>-5.4470000000000027</v>
      </c>
      <c r="U275" s="17">
        <f t="shared" si="63"/>
        <v>-2.0181216216216269</v>
      </c>
      <c r="V275" s="27">
        <f t="shared" si="64"/>
        <v>-1.4609999999999999</v>
      </c>
    </row>
    <row r="276" spans="1:22" s="5" customFormat="1">
      <c r="A276" s="5">
        <v>180</v>
      </c>
      <c r="B276" s="17">
        <f t="shared" si="68"/>
        <v>-40</v>
      </c>
      <c r="C276" s="5">
        <v>120.07</v>
      </c>
      <c r="D276" s="5">
        <v>123.815</v>
      </c>
      <c r="E276" s="5">
        <f t="shared" si="55"/>
        <v>116.11500000000001</v>
      </c>
      <c r="F276" s="25">
        <f>360-(116.102+D276+C276)</f>
        <v>1.3000000000033651E-2</v>
      </c>
      <c r="G276" s="30">
        <v>1.3480000000000001</v>
      </c>
      <c r="H276" s="9">
        <v>1.522</v>
      </c>
      <c r="I276" s="9">
        <v>-4.8620000000000001</v>
      </c>
      <c r="J276" s="8" t="s">
        <v>86</v>
      </c>
      <c r="K276" s="21">
        <v>173.81200000000001</v>
      </c>
      <c r="L276" s="3">
        <f t="shared" si="60"/>
        <v>178.673</v>
      </c>
      <c r="M276" s="3">
        <f t="shared" si="56"/>
        <v>358.673</v>
      </c>
      <c r="N276" s="3">
        <f t="shared" si="57"/>
        <v>358.673</v>
      </c>
      <c r="O276" s="27">
        <f t="shared" si="58"/>
        <v>-1.3269999999999982</v>
      </c>
      <c r="P276" s="17">
        <f t="shared" si="61"/>
        <v>-1.8519999999999992</v>
      </c>
      <c r="Q276" s="3">
        <f t="shared" si="62"/>
        <v>172.28900000000002</v>
      </c>
      <c r="R276" s="3">
        <f t="shared" si="65"/>
        <v>352.28899999999999</v>
      </c>
      <c r="S276" s="3">
        <f t="shared" si="66"/>
        <v>352.28899999999999</v>
      </c>
      <c r="T276" s="27">
        <f t="shared" si="67"/>
        <v>-7.7110000000000127</v>
      </c>
      <c r="U276" s="17">
        <f t="shared" si="63"/>
        <v>-4.2821216216216369</v>
      </c>
      <c r="V276" s="27">
        <f t="shared" si="64"/>
        <v>-1.67</v>
      </c>
    </row>
    <row r="277" spans="1:22" s="5" customFormat="1">
      <c r="A277" s="5">
        <v>180</v>
      </c>
      <c r="B277" s="17">
        <f t="shared" si="68"/>
        <v>-30</v>
      </c>
      <c r="C277" s="5">
        <v>119.462</v>
      </c>
      <c r="D277" s="5">
        <v>123.84099999999999</v>
      </c>
      <c r="E277" s="5">
        <f t="shared" si="55"/>
        <v>116.697</v>
      </c>
      <c r="F277" s="25">
        <f>360-(116.692+D277+C277)</f>
        <v>4.9999999999954525E-3</v>
      </c>
      <c r="G277" s="30">
        <v>1.3480000000000001</v>
      </c>
      <c r="H277" s="9">
        <v>3.0289999999999999</v>
      </c>
      <c r="I277" s="9">
        <v>-7.3239999999999998</v>
      </c>
      <c r="J277" s="8" t="s">
        <v>87</v>
      </c>
      <c r="K277" s="21">
        <v>171.86600000000001</v>
      </c>
      <c r="L277" s="3">
        <f t="shared" si="60"/>
        <v>179.19</v>
      </c>
      <c r="M277" s="3">
        <f t="shared" si="56"/>
        <v>359.19</v>
      </c>
      <c r="N277" s="3">
        <f t="shared" si="57"/>
        <v>359.19</v>
      </c>
      <c r="O277" s="27">
        <f t="shared" si="58"/>
        <v>-0.81000000000000227</v>
      </c>
      <c r="P277" s="17">
        <f t="shared" si="61"/>
        <v>-1.3350000000000033</v>
      </c>
      <c r="Q277" s="3">
        <f t="shared" si="62"/>
        <v>168.83699999999999</v>
      </c>
      <c r="R277" s="3">
        <f t="shared" si="65"/>
        <v>348.83699999999999</v>
      </c>
      <c r="S277" s="3">
        <f t="shared" si="66"/>
        <v>348.83699999999999</v>
      </c>
      <c r="T277" s="27">
        <f t="shared" si="67"/>
        <v>-11.163000000000011</v>
      </c>
      <c r="U277" s="17">
        <f t="shared" si="63"/>
        <v>-7.7341216216216351</v>
      </c>
      <c r="V277" s="27">
        <f t="shared" si="64"/>
        <v>-2.1475</v>
      </c>
    </row>
    <row r="278" spans="1:22" s="5" customFormat="1">
      <c r="A278" s="5">
        <v>180</v>
      </c>
      <c r="B278" s="17">
        <f t="shared" si="68"/>
        <v>-20</v>
      </c>
      <c r="C278" s="5">
        <v>118.864</v>
      </c>
      <c r="D278" s="5">
        <v>123.759</v>
      </c>
      <c r="E278" s="5">
        <f t="shared" ref="E278:E298" si="69">360-(C278+D278)</f>
        <v>117.37700000000001</v>
      </c>
      <c r="F278" s="25">
        <f>360-(117.376+D278+C278)</f>
        <v>9.9999999997635314E-4</v>
      </c>
      <c r="G278" s="30">
        <v>1.3480000000000001</v>
      </c>
      <c r="H278" s="9">
        <v>3.9849999999999999</v>
      </c>
      <c r="I278" s="9">
        <v>-10.683999999999999</v>
      </c>
      <c r="J278" s="8" t="s">
        <v>88</v>
      </c>
      <c r="K278" s="21">
        <v>169.804</v>
      </c>
      <c r="L278" s="3">
        <f t="shared" si="60"/>
        <v>180.488</v>
      </c>
      <c r="M278" s="3">
        <f t="shared" ref="M278:M298" si="70">L278+180</f>
        <v>360.488</v>
      </c>
      <c r="N278" s="3">
        <f t="shared" ref="N278:N298" si="71">MOD(M278,360)</f>
        <v>0.48799999999999955</v>
      </c>
      <c r="O278" s="27">
        <f t="shared" ref="O278:O298" si="72">IF(N278&gt;=180,N278-360,N278)</f>
        <v>0.48799999999999955</v>
      </c>
      <c r="P278" s="17">
        <f t="shared" si="61"/>
        <v>-3.7000000000001476E-2</v>
      </c>
      <c r="Q278" s="3">
        <f t="shared" si="62"/>
        <v>165.81899999999999</v>
      </c>
      <c r="R278" s="3">
        <f t="shared" si="65"/>
        <v>345.81899999999996</v>
      </c>
      <c r="S278" s="3">
        <f t="shared" si="66"/>
        <v>345.81899999999996</v>
      </c>
      <c r="T278" s="27">
        <f t="shared" si="67"/>
        <v>-14.18100000000004</v>
      </c>
      <c r="U278" s="17">
        <f t="shared" si="63"/>
        <v>-10.752121621621665</v>
      </c>
      <c r="V278" s="27">
        <f t="shared" si="64"/>
        <v>-3.3494999999999999</v>
      </c>
    </row>
    <row r="279" spans="1:22" s="5" customFormat="1">
      <c r="A279" s="5">
        <v>180</v>
      </c>
      <c r="B279" s="17">
        <f t="shared" si="68"/>
        <v>-10</v>
      </c>
      <c r="C279" s="5">
        <v>118.352</v>
      </c>
      <c r="D279" s="5">
        <v>123.57899999999999</v>
      </c>
      <c r="E279" s="5">
        <f t="shared" si="69"/>
        <v>118.06900000000002</v>
      </c>
      <c r="F279" s="25">
        <f>360-(118.036+D279+C279)</f>
        <v>3.3000000000015461E-2</v>
      </c>
      <c r="G279" s="30">
        <v>1.349</v>
      </c>
      <c r="H279" s="9">
        <v>4.835</v>
      </c>
      <c r="I279" s="9">
        <v>-14.333</v>
      </c>
      <c r="J279" s="8" t="s">
        <v>89</v>
      </c>
      <c r="K279" s="21">
        <v>167.79900000000001</v>
      </c>
      <c r="L279" s="3">
        <f t="shared" si="60"/>
        <v>182.13200000000001</v>
      </c>
      <c r="M279" s="3">
        <f t="shared" si="70"/>
        <v>362.13200000000001</v>
      </c>
      <c r="N279" s="3">
        <f t="shared" si="71"/>
        <v>2.132000000000005</v>
      </c>
      <c r="O279" s="27">
        <f t="shared" si="72"/>
        <v>2.132000000000005</v>
      </c>
      <c r="P279" s="17">
        <f t="shared" si="61"/>
        <v>1.607000000000004</v>
      </c>
      <c r="Q279" s="3">
        <f t="shared" si="62"/>
        <v>162.964</v>
      </c>
      <c r="R279" s="3">
        <f t="shared" si="65"/>
        <v>342.964</v>
      </c>
      <c r="S279" s="3">
        <f t="shared" si="66"/>
        <v>342.964</v>
      </c>
      <c r="T279" s="27">
        <f t="shared" si="67"/>
        <v>-17.036000000000001</v>
      </c>
      <c r="U279" s="17">
        <f t="shared" si="63"/>
        <v>-13.607121621621626</v>
      </c>
      <c r="V279" s="27">
        <f t="shared" si="64"/>
        <v>-4.7490000000000006</v>
      </c>
    </row>
    <row r="280" spans="1:22" s="5" customFormat="1">
      <c r="A280" s="5">
        <v>180</v>
      </c>
      <c r="B280" s="17">
        <f t="shared" si="68"/>
        <v>0</v>
      </c>
      <c r="C280" s="5">
        <v>117.783</v>
      </c>
      <c r="D280" s="5">
        <v>123.364</v>
      </c>
      <c r="E280" s="5">
        <f t="shared" si="69"/>
        <v>118.85300000000001</v>
      </c>
      <c r="F280" s="25">
        <f>360-(118.795+D280+C280)</f>
        <v>5.7999999999992724E-2</v>
      </c>
      <c r="G280" s="30">
        <v>1.347</v>
      </c>
      <c r="H280" s="8" t="s">
        <v>91</v>
      </c>
      <c r="I280" s="8">
        <v>12.082000000000001</v>
      </c>
      <c r="J280" s="8" t="s">
        <v>90</v>
      </c>
      <c r="K280" s="21">
        <v>170.77500000000001</v>
      </c>
      <c r="L280" s="3">
        <f t="shared" si="60"/>
        <v>177.143</v>
      </c>
      <c r="M280" s="3">
        <f t="shared" si="70"/>
        <v>357.14300000000003</v>
      </c>
      <c r="N280" s="3">
        <f t="shared" si="71"/>
        <v>357.14300000000003</v>
      </c>
      <c r="O280" s="27">
        <f t="shared" si="72"/>
        <v>-2.8569999999999709</v>
      </c>
      <c r="P280" s="17">
        <f t="shared" si="61"/>
        <v>-3.3819999999999721</v>
      </c>
      <c r="Q280" s="3">
        <f t="shared" si="62"/>
        <v>190.87799999999999</v>
      </c>
      <c r="R280" s="3">
        <f t="shared" si="65"/>
        <v>370.87799999999999</v>
      </c>
      <c r="S280" s="3">
        <f t="shared" si="66"/>
        <v>10.877999999999986</v>
      </c>
      <c r="T280" s="27">
        <f t="shared" si="67"/>
        <v>10.877999999999986</v>
      </c>
      <c r="U280" s="17">
        <f t="shared" si="63"/>
        <v>14.306878378378361</v>
      </c>
      <c r="V280" s="27">
        <f t="shared" si="64"/>
        <v>5.2145000000000001</v>
      </c>
    </row>
    <row r="281" spans="1:22" s="5" customFormat="1">
      <c r="A281" s="5">
        <v>180</v>
      </c>
      <c r="B281" s="17">
        <f t="shared" si="68"/>
        <v>10</v>
      </c>
      <c r="C281" s="5">
        <v>118.239</v>
      </c>
      <c r="D281" s="5">
        <v>123.55800000000001</v>
      </c>
      <c r="E281" s="5">
        <f t="shared" si="69"/>
        <v>118.20299999999997</v>
      </c>
      <c r="F281" s="25">
        <f>360-(118.189+D281+C281)</f>
        <v>1.4000000000010004E-2</v>
      </c>
      <c r="G281" s="30">
        <v>1.347</v>
      </c>
      <c r="H281" s="8" t="s">
        <v>92</v>
      </c>
      <c r="I281" s="8">
        <v>10.308999999999999</v>
      </c>
      <c r="J281" s="9">
        <v>179.422</v>
      </c>
      <c r="K281" s="21">
        <v>171.03700000000001</v>
      </c>
      <c r="L281" s="3">
        <f t="shared" si="60"/>
        <v>-181.346</v>
      </c>
      <c r="M281" s="3">
        <f t="shared" si="70"/>
        <v>-1.3460000000000036</v>
      </c>
      <c r="N281" s="3">
        <f t="shared" si="71"/>
        <v>358.654</v>
      </c>
      <c r="O281" s="27">
        <f t="shared" si="72"/>
        <v>-1.3460000000000036</v>
      </c>
      <c r="P281" s="17">
        <f t="shared" si="61"/>
        <v>-1.8710000000000047</v>
      </c>
      <c r="Q281" s="3">
        <f t="shared" si="62"/>
        <v>-169.113</v>
      </c>
      <c r="R281" s="3">
        <f t="shared" si="65"/>
        <v>10.887</v>
      </c>
      <c r="S281" s="3">
        <f t="shared" si="66"/>
        <v>10.887</v>
      </c>
      <c r="T281" s="27">
        <f t="shared" si="67"/>
        <v>10.887</v>
      </c>
      <c r="U281" s="17">
        <f t="shared" si="63"/>
        <v>14.315878378378375</v>
      </c>
      <c r="V281" s="27">
        <f t="shared" si="64"/>
        <v>4.1924999999999999</v>
      </c>
    </row>
    <row r="282" spans="1:22" s="5" customFormat="1">
      <c r="A282" s="5">
        <v>180</v>
      </c>
      <c r="B282" s="17">
        <f t="shared" si="68"/>
        <v>20</v>
      </c>
      <c r="C282" s="5">
        <v>118.81</v>
      </c>
      <c r="D282" s="5">
        <v>123.658</v>
      </c>
      <c r="E282" s="5">
        <f t="shared" si="69"/>
        <v>117.53199999999998</v>
      </c>
      <c r="F282" s="25">
        <f>360-(117.531+D282+C282)</f>
        <v>9.9999999997635314E-4</v>
      </c>
      <c r="G282" s="30">
        <v>1.347</v>
      </c>
      <c r="H282" s="8" t="s">
        <v>93</v>
      </c>
      <c r="I282" s="8">
        <v>7.0780000000000003</v>
      </c>
      <c r="J282" s="9">
        <v>178.07900000000001</v>
      </c>
      <c r="K282" s="21">
        <v>172.60400000000001</v>
      </c>
      <c r="L282" s="3">
        <f t="shared" si="60"/>
        <v>-179.68200000000002</v>
      </c>
      <c r="M282" s="3">
        <f t="shared" si="70"/>
        <v>0.31799999999998363</v>
      </c>
      <c r="N282" s="3">
        <f t="shared" si="71"/>
        <v>0.31799999999998363</v>
      </c>
      <c r="O282" s="27">
        <f t="shared" si="72"/>
        <v>0.31799999999998363</v>
      </c>
      <c r="P282" s="17">
        <f t="shared" si="61"/>
        <v>-0.20700000000001739</v>
      </c>
      <c r="Q282" s="3">
        <f t="shared" si="62"/>
        <v>-171.001</v>
      </c>
      <c r="R282" s="3">
        <f t="shared" si="65"/>
        <v>8.9989999999999952</v>
      </c>
      <c r="S282" s="3">
        <f t="shared" si="66"/>
        <v>8.9989999999999952</v>
      </c>
      <c r="T282" s="27">
        <f t="shared" si="67"/>
        <v>8.9989999999999952</v>
      </c>
      <c r="U282" s="17">
        <f t="shared" si="63"/>
        <v>12.42787837837837</v>
      </c>
      <c r="V282" s="27">
        <f t="shared" si="64"/>
        <v>2.7375000000000003</v>
      </c>
    </row>
    <row r="283" spans="1:22" s="5" customFormat="1">
      <c r="A283" s="5">
        <v>180</v>
      </c>
      <c r="B283" s="17">
        <f t="shared" si="68"/>
        <v>30</v>
      </c>
      <c r="C283" s="5">
        <v>119.39100000000001</v>
      </c>
      <c r="D283" s="5">
        <v>123.79</v>
      </c>
      <c r="E283" s="5">
        <f t="shared" si="69"/>
        <v>116.81899999999999</v>
      </c>
      <c r="F283" s="25">
        <f>360-(116.8+D283+C283)</f>
        <v>1.9000000000005457E-2</v>
      </c>
      <c r="G283" s="30">
        <v>1.347</v>
      </c>
      <c r="H283" s="8" t="s">
        <v>94</v>
      </c>
      <c r="I283" s="8">
        <v>3.3</v>
      </c>
      <c r="J283" s="9">
        <v>178.17500000000001</v>
      </c>
      <c r="K283" s="21">
        <v>175.107</v>
      </c>
      <c r="L283" s="3">
        <f t="shared" si="60"/>
        <v>-178.40700000000001</v>
      </c>
      <c r="M283" s="3">
        <f t="shared" si="70"/>
        <v>1.5929999999999893</v>
      </c>
      <c r="N283" s="3">
        <f t="shared" si="71"/>
        <v>1.5929999999999893</v>
      </c>
      <c r="O283" s="27">
        <f t="shared" si="72"/>
        <v>1.5929999999999893</v>
      </c>
      <c r="P283" s="17">
        <f t="shared" si="61"/>
        <v>1.0679999999999883</v>
      </c>
      <c r="Q283" s="3">
        <f t="shared" si="62"/>
        <v>-174.875</v>
      </c>
      <c r="R283" s="3">
        <f t="shared" si="65"/>
        <v>5.125</v>
      </c>
      <c r="S283" s="3">
        <f t="shared" si="66"/>
        <v>5.125</v>
      </c>
      <c r="T283" s="27">
        <f t="shared" si="67"/>
        <v>5.125</v>
      </c>
      <c r="U283" s="17">
        <f t="shared" si="63"/>
        <v>8.5538783783783749</v>
      </c>
      <c r="V283" s="27">
        <f t="shared" si="64"/>
        <v>1.5339999999999998</v>
      </c>
    </row>
    <row r="284" spans="1:22" s="5" customFormat="1">
      <c r="A284" s="5">
        <v>180</v>
      </c>
      <c r="B284" s="17">
        <f t="shared" si="68"/>
        <v>40</v>
      </c>
      <c r="C284" s="5">
        <v>119.992</v>
      </c>
      <c r="D284" s="5">
        <v>123.898</v>
      </c>
      <c r="E284" s="5">
        <f t="shared" si="69"/>
        <v>116.11000000000001</v>
      </c>
      <c r="F284" s="25">
        <f>360-(116.074+D284+C284)</f>
        <v>3.6000000000001364E-2</v>
      </c>
      <c r="G284" s="30">
        <v>1.347</v>
      </c>
      <c r="H284" s="9">
        <v>1.929</v>
      </c>
      <c r="I284" s="9">
        <v>0.31</v>
      </c>
      <c r="J284" s="9">
        <v>179.75899999999999</v>
      </c>
      <c r="K284" s="21">
        <v>177.52</v>
      </c>
      <c r="L284" s="3">
        <f t="shared" si="60"/>
        <v>-177.82999999999998</v>
      </c>
      <c r="M284" s="3">
        <f t="shared" si="70"/>
        <v>2.1700000000000159</v>
      </c>
      <c r="N284" s="3">
        <f t="shared" si="71"/>
        <v>2.1700000000000159</v>
      </c>
      <c r="O284" s="27">
        <f t="shared" si="72"/>
        <v>2.1700000000000159</v>
      </c>
      <c r="P284" s="17">
        <f t="shared" si="61"/>
        <v>1.6450000000000149</v>
      </c>
      <c r="Q284" s="3">
        <f t="shared" si="62"/>
        <v>-179.44899999999998</v>
      </c>
      <c r="R284" s="3">
        <f t="shared" si="65"/>
        <v>0.55100000000001614</v>
      </c>
      <c r="S284" s="3">
        <f t="shared" si="66"/>
        <v>0.55100000000001614</v>
      </c>
      <c r="T284" s="27">
        <f t="shared" si="67"/>
        <v>0.55100000000001614</v>
      </c>
      <c r="U284" s="17">
        <f t="shared" si="63"/>
        <v>3.979878378378392</v>
      </c>
      <c r="V284" s="27">
        <f t="shared" si="64"/>
        <v>1.1194999999999999</v>
      </c>
    </row>
    <row r="285" spans="1:22" s="5" customFormat="1">
      <c r="A285" s="5">
        <v>180</v>
      </c>
      <c r="B285" s="17">
        <f t="shared" si="68"/>
        <v>50</v>
      </c>
      <c r="C285" s="5">
        <v>120.51</v>
      </c>
      <c r="D285" s="5">
        <v>123.9</v>
      </c>
      <c r="E285" s="5">
        <f t="shared" si="69"/>
        <v>115.58999999999997</v>
      </c>
      <c r="F285" s="25">
        <f>360-(115.554+D285+C285)</f>
        <v>3.6000000000001364E-2</v>
      </c>
      <c r="G285" s="30">
        <v>1.3480000000000001</v>
      </c>
      <c r="H285" s="9">
        <v>2.7109999999999999</v>
      </c>
      <c r="I285" s="9">
        <v>-1.0920000000000001</v>
      </c>
      <c r="J285" s="8" t="s">
        <v>95</v>
      </c>
      <c r="K285" s="21">
        <v>178.91399999999999</v>
      </c>
      <c r="L285" s="3">
        <f t="shared" si="60"/>
        <v>182.17800000000003</v>
      </c>
      <c r="M285" s="3">
        <f t="shared" si="70"/>
        <v>362.178</v>
      </c>
      <c r="N285" s="3">
        <f t="shared" si="71"/>
        <v>2.1779999999999973</v>
      </c>
      <c r="O285" s="27">
        <f t="shared" si="72"/>
        <v>2.1779999999999973</v>
      </c>
      <c r="P285" s="17">
        <f t="shared" si="61"/>
        <v>1.6529999999999963</v>
      </c>
      <c r="Q285" s="3">
        <f t="shared" si="62"/>
        <v>178.375</v>
      </c>
      <c r="R285" s="3">
        <f t="shared" si="65"/>
        <v>358.375</v>
      </c>
      <c r="S285" s="3">
        <f t="shared" si="66"/>
        <v>358.375</v>
      </c>
      <c r="T285" s="27">
        <f t="shared" si="67"/>
        <v>-1.625</v>
      </c>
      <c r="U285" s="17">
        <f t="shared" si="63"/>
        <v>1.8038783783783758</v>
      </c>
      <c r="V285" s="27">
        <f t="shared" si="64"/>
        <v>0.80949999999999989</v>
      </c>
    </row>
    <row r="286" spans="1:22" s="5" customFormat="1">
      <c r="A286" s="5">
        <v>180</v>
      </c>
      <c r="B286" s="17">
        <f t="shared" si="68"/>
        <v>60</v>
      </c>
      <c r="C286" s="5">
        <v>120.776</v>
      </c>
      <c r="D286" s="5">
        <v>123.922</v>
      </c>
      <c r="E286" s="5">
        <f t="shared" si="69"/>
        <v>115.30200000000002</v>
      </c>
      <c r="F286" s="25">
        <f>360-(115.285+D286+C286)</f>
        <v>1.6999999999995907E-2</v>
      </c>
      <c r="G286" s="30">
        <v>1.3480000000000001</v>
      </c>
      <c r="H286" s="9">
        <v>3.3740000000000001</v>
      </c>
      <c r="I286" s="9">
        <v>-1.1950000000000001</v>
      </c>
      <c r="J286" s="8" t="s">
        <v>85</v>
      </c>
      <c r="K286" s="21">
        <v>179.69800000000001</v>
      </c>
      <c r="L286" s="3">
        <f t="shared" si="60"/>
        <v>181.49699999999999</v>
      </c>
      <c r="M286" s="3">
        <f t="shared" si="70"/>
        <v>361.49699999999996</v>
      </c>
      <c r="N286" s="3">
        <f t="shared" si="71"/>
        <v>1.4969999999999573</v>
      </c>
      <c r="O286" s="27">
        <f t="shared" si="72"/>
        <v>1.4969999999999573</v>
      </c>
      <c r="P286" s="17">
        <f t="shared" si="61"/>
        <v>0.97199999999995623</v>
      </c>
      <c r="Q286" s="3">
        <f t="shared" si="62"/>
        <v>176.928</v>
      </c>
      <c r="R286" s="3">
        <f t="shared" si="65"/>
        <v>356.928</v>
      </c>
      <c r="S286" s="3">
        <f t="shared" si="66"/>
        <v>356.928</v>
      </c>
      <c r="T286" s="27">
        <f t="shared" si="67"/>
        <v>-3.0720000000000027</v>
      </c>
      <c r="U286" s="17">
        <f t="shared" si="63"/>
        <v>0.35687837837837311</v>
      </c>
      <c r="V286" s="27">
        <f t="shared" si="64"/>
        <v>1.0895000000000001</v>
      </c>
    </row>
    <row r="287" spans="1:22" s="5" customFormat="1">
      <c r="A287" s="5">
        <v>180</v>
      </c>
      <c r="B287" s="17">
        <f>B286+10</f>
        <v>70</v>
      </c>
      <c r="C287" s="5">
        <v>120.982</v>
      </c>
      <c r="D287" s="5">
        <v>123.834</v>
      </c>
      <c r="E287" s="5">
        <f t="shared" si="69"/>
        <v>115.184</v>
      </c>
      <c r="F287" s="25">
        <f>360-(115.182+D287+C287)</f>
        <v>1.9999999999527063E-3</v>
      </c>
      <c r="G287" s="30">
        <v>1.3480000000000001</v>
      </c>
      <c r="H287" s="9">
        <v>3.1909999999999998</v>
      </c>
      <c r="I287" s="9">
        <v>-0.97799999999999998</v>
      </c>
      <c r="J287" s="8" t="s">
        <v>96</v>
      </c>
      <c r="K287" s="21">
        <v>179.62200000000001</v>
      </c>
      <c r="L287" s="3">
        <f t="shared" si="60"/>
        <v>180.6</v>
      </c>
      <c r="M287" s="3">
        <f t="shared" si="70"/>
        <v>360.6</v>
      </c>
      <c r="N287" s="3">
        <f t="shared" si="71"/>
        <v>0.60000000000002274</v>
      </c>
      <c r="O287" s="27">
        <f t="shared" si="72"/>
        <v>0.60000000000002274</v>
      </c>
      <c r="P287" s="17">
        <f t="shared" si="61"/>
        <v>7.5000000000021716E-2</v>
      </c>
      <c r="Q287" s="3">
        <f t="shared" si="62"/>
        <v>176.43099999999998</v>
      </c>
      <c r="R287" s="3">
        <f t="shared" si="65"/>
        <v>356.43099999999998</v>
      </c>
      <c r="S287" s="3">
        <f t="shared" si="66"/>
        <v>356.43099999999998</v>
      </c>
      <c r="T287" s="27">
        <f t="shared" si="67"/>
        <v>-3.5690000000000168</v>
      </c>
      <c r="U287" s="17">
        <f t="shared" si="63"/>
        <v>-0.14012162162164099</v>
      </c>
      <c r="V287" s="27">
        <f t="shared" si="64"/>
        <v>1.1065</v>
      </c>
    </row>
    <row r="288" spans="1:22" s="5" customFormat="1">
      <c r="A288" s="5">
        <v>180</v>
      </c>
      <c r="B288" s="17">
        <f t="shared" si="68"/>
        <v>80</v>
      </c>
      <c r="C288" s="5">
        <v>121.008</v>
      </c>
      <c r="D288" s="5">
        <v>123.845</v>
      </c>
      <c r="E288" s="5">
        <f t="shared" si="69"/>
        <v>115.14699999999999</v>
      </c>
      <c r="F288" s="25">
        <f>360-(115.146+D288+C288)</f>
        <v>1.0000000000331966E-3</v>
      </c>
      <c r="G288" s="30">
        <v>1.347</v>
      </c>
      <c r="H288" s="9">
        <v>2.7429999999999999</v>
      </c>
      <c r="I288" s="9">
        <v>-0.25700000000000001</v>
      </c>
      <c r="J288" s="8" t="s">
        <v>97</v>
      </c>
      <c r="K288" s="21">
        <v>179.255</v>
      </c>
      <c r="L288" s="3">
        <f t="shared" si="60"/>
        <v>179.51300000000001</v>
      </c>
      <c r="M288" s="3">
        <f t="shared" si="70"/>
        <v>359.51300000000003</v>
      </c>
      <c r="N288" s="3">
        <f t="shared" si="71"/>
        <v>359.51300000000003</v>
      </c>
      <c r="O288" s="27">
        <f t="shared" si="72"/>
        <v>-0.48699999999996635</v>
      </c>
      <c r="P288" s="17">
        <f t="shared" si="61"/>
        <v>-1.0119999999999674</v>
      </c>
      <c r="Q288" s="3">
        <f t="shared" si="62"/>
        <v>176.51300000000001</v>
      </c>
      <c r="R288" s="3">
        <f t="shared" si="65"/>
        <v>356.51300000000003</v>
      </c>
      <c r="S288" s="3">
        <f t="shared" si="66"/>
        <v>356.51300000000003</v>
      </c>
      <c r="T288" s="27">
        <f t="shared" si="67"/>
        <v>-3.4869999999999663</v>
      </c>
      <c r="U288" s="17">
        <f t="shared" si="63"/>
        <v>-5.8121621621590513E-2</v>
      </c>
      <c r="V288" s="27">
        <f t="shared" si="64"/>
        <v>1.2429999999999999</v>
      </c>
    </row>
    <row r="289" spans="1:22" s="5" customFormat="1">
      <c r="A289" s="5">
        <v>180</v>
      </c>
      <c r="B289" s="17">
        <f t="shared" si="68"/>
        <v>90</v>
      </c>
      <c r="C289" s="5">
        <v>120.8</v>
      </c>
      <c r="D289" s="5">
        <v>123.846</v>
      </c>
      <c r="E289" s="5">
        <f t="shared" si="69"/>
        <v>115.35399999999998</v>
      </c>
      <c r="F289" s="25">
        <f>360-(115.341+D289+C289)</f>
        <v>1.2999999999976808E-2</v>
      </c>
      <c r="G289" s="30">
        <v>1.3460000000000001</v>
      </c>
      <c r="H289" s="9">
        <v>1.633</v>
      </c>
      <c r="I289" s="9">
        <v>0.27600000000000002</v>
      </c>
      <c r="J289" s="8" t="s">
        <v>98</v>
      </c>
      <c r="K289" s="21">
        <v>178.97300000000001</v>
      </c>
      <c r="L289" s="3">
        <f t="shared" si="60"/>
        <v>178.697</v>
      </c>
      <c r="M289" s="3">
        <f t="shared" si="70"/>
        <v>358.697</v>
      </c>
      <c r="N289" s="3">
        <f t="shared" si="71"/>
        <v>358.697</v>
      </c>
      <c r="O289" s="27">
        <f t="shared" si="72"/>
        <v>-1.3029999999999973</v>
      </c>
      <c r="P289" s="17">
        <f t="shared" si="61"/>
        <v>-1.8279999999999983</v>
      </c>
      <c r="Q289" s="3">
        <f t="shared" si="62"/>
        <v>177.34</v>
      </c>
      <c r="R289" s="3">
        <f t="shared" si="65"/>
        <v>357.34000000000003</v>
      </c>
      <c r="S289" s="3">
        <f t="shared" si="66"/>
        <v>357.34000000000003</v>
      </c>
      <c r="T289" s="27">
        <f t="shared" si="67"/>
        <v>-2.6599999999999682</v>
      </c>
      <c r="U289" s="17">
        <f t="shared" si="63"/>
        <v>0.76887837837840767</v>
      </c>
      <c r="V289" s="27">
        <f t="shared" si="64"/>
        <v>0.95450000000000002</v>
      </c>
    </row>
    <row r="290" spans="1:22" s="5" customFormat="1">
      <c r="A290" s="5">
        <v>180</v>
      </c>
      <c r="B290" s="17">
        <f t="shared" si="68"/>
        <v>100</v>
      </c>
      <c r="C290" s="5">
        <v>120.39</v>
      </c>
      <c r="D290" s="5">
        <v>123.93300000000001</v>
      </c>
      <c r="E290" s="5">
        <f t="shared" si="69"/>
        <v>115.67699999999999</v>
      </c>
      <c r="F290" s="25">
        <f>360-(115.647+D290+C290)</f>
        <v>2.9999999999972715E-2</v>
      </c>
      <c r="G290" s="30">
        <v>1.345</v>
      </c>
      <c r="H290" s="9">
        <v>0.90800000000000003</v>
      </c>
      <c r="I290" s="9">
        <v>0.56799999999999995</v>
      </c>
      <c r="J290" s="8" t="s">
        <v>99</v>
      </c>
      <c r="K290" s="21">
        <v>178.57300000000001</v>
      </c>
      <c r="L290" s="3">
        <f t="shared" si="60"/>
        <v>178.005</v>
      </c>
      <c r="M290" s="3">
        <f t="shared" si="70"/>
        <v>358.005</v>
      </c>
      <c r="N290" s="3">
        <f t="shared" si="71"/>
        <v>358.005</v>
      </c>
      <c r="O290" s="27">
        <f t="shared" si="72"/>
        <v>-1.9950000000000045</v>
      </c>
      <c r="P290" s="17">
        <f t="shared" si="61"/>
        <v>-2.5200000000000058</v>
      </c>
      <c r="Q290" s="3">
        <f t="shared" si="62"/>
        <v>177.66500000000002</v>
      </c>
      <c r="R290" s="3">
        <f t="shared" si="65"/>
        <v>357.66500000000002</v>
      </c>
      <c r="S290" s="3">
        <f t="shared" si="66"/>
        <v>357.66500000000002</v>
      </c>
      <c r="T290" s="27">
        <f t="shared" si="67"/>
        <v>-2.3349999999999795</v>
      </c>
      <c r="U290" s="17">
        <f t="shared" si="63"/>
        <v>1.0938783783783963</v>
      </c>
      <c r="V290" s="27">
        <f t="shared" si="64"/>
        <v>0.73799999999999999</v>
      </c>
    </row>
    <row r="291" spans="1:22" s="5" customFormat="1">
      <c r="A291" s="5">
        <v>180</v>
      </c>
      <c r="B291" s="17">
        <f t="shared" si="68"/>
        <v>110</v>
      </c>
      <c r="C291" s="5">
        <v>120.116</v>
      </c>
      <c r="D291" s="5">
        <v>123.965</v>
      </c>
      <c r="E291" s="5">
        <f t="shared" si="69"/>
        <v>115.91899999999998</v>
      </c>
      <c r="F291" s="25">
        <f>360-(115.887+D291+C291)</f>
        <v>3.1999999999982265E-2</v>
      </c>
      <c r="G291" s="30">
        <v>1.3440000000000001</v>
      </c>
      <c r="H291" s="8" t="s">
        <v>100</v>
      </c>
      <c r="I291" s="8">
        <v>-2.5000000000000001E-2</v>
      </c>
      <c r="J291" s="8" t="s">
        <v>19</v>
      </c>
      <c r="K291" s="21">
        <v>177.929</v>
      </c>
      <c r="L291" s="3">
        <f t="shared" si="60"/>
        <v>177.95400000000001</v>
      </c>
      <c r="M291" s="3">
        <f t="shared" si="70"/>
        <v>357.95400000000001</v>
      </c>
      <c r="N291" s="3">
        <f t="shared" si="71"/>
        <v>357.95400000000001</v>
      </c>
      <c r="O291" s="27">
        <f t="shared" si="72"/>
        <v>-2.0459999999999923</v>
      </c>
      <c r="P291" s="17">
        <f t="shared" si="61"/>
        <v>-2.5709999999999935</v>
      </c>
      <c r="Q291" s="3">
        <f t="shared" si="62"/>
        <v>178.42699999999999</v>
      </c>
      <c r="R291" s="3">
        <f t="shared" si="65"/>
        <v>358.42700000000002</v>
      </c>
      <c r="S291" s="3">
        <f t="shared" si="66"/>
        <v>358.42700000000002</v>
      </c>
      <c r="T291" s="27">
        <f t="shared" si="67"/>
        <v>-1.5729999999999791</v>
      </c>
      <c r="U291" s="17">
        <f t="shared" si="63"/>
        <v>1.8558783783783968</v>
      </c>
      <c r="V291" s="27">
        <f t="shared" si="64"/>
        <v>-0.26150000000000001</v>
      </c>
    </row>
    <row r="292" spans="1:22" s="5" customFormat="1">
      <c r="A292" s="5">
        <v>180</v>
      </c>
      <c r="B292" s="17">
        <f t="shared" si="68"/>
        <v>120</v>
      </c>
      <c r="C292" s="5">
        <v>120.099</v>
      </c>
      <c r="D292" s="5">
        <v>123.952</v>
      </c>
      <c r="E292" s="5">
        <f t="shared" si="69"/>
        <v>115.94900000000001</v>
      </c>
      <c r="F292" s="25">
        <f>360-(115.934+D292+C292)</f>
        <v>1.4999999999986358E-2</v>
      </c>
      <c r="G292" s="30">
        <v>1.343</v>
      </c>
      <c r="H292" s="8" t="s">
        <v>101</v>
      </c>
      <c r="I292" s="8">
        <v>-1.238</v>
      </c>
      <c r="J292" s="9">
        <v>179.51</v>
      </c>
      <c r="K292" s="21">
        <v>177.36</v>
      </c>
      <c r="L292" s="3">
        <f t="shared" si="60"/>
        <v>-181.40199999999999</v>
      </c>
      <c r="M292" s="3">
        <f t="shared" si="70"/>
        <v>-1.4019999999999868</v>
      </c>
      <c r="N292" s="3">
        <f t="shared" si="71"/>
        <v>358.59800000000001</v>
      </c>
      <c r="O292" s="27">
        <f t="shared" si="72"/>
        <v>-1.4019999999999868</v>
      </c>
      <c r="P292" s="17">
        <f t="shared" si="61"/>
        <v>-1.9269999999999878</v>
      </c>
      <c r="Q292" s="3">
        <f t="shared" si="62"/>
        <v>-180.74799999999999</v>
      </c>
      <c r="R292" s="3">
        <f t="shared" si="65"/>
        <v>-0.74799999999999045</v>
      </c>
      <c r="S292" s="3">
        <f t="shared" si="66"/>
        <v>359.25200000000001</v>
      </c>
      <c r="T292" s="27">
        <f t="shared" si="67"/>
        <v>-0.74799999999999045</v>
      </c>
      <c r="U292" s="17">
        <f t="shared" si="63"/>
        <v>2.6808783783783854</v>
      </c>
      <c r="V292" s="27">
        <f t="shared" si="64"/>
        <v>-1.5649999999999999</v>
      </c>
    </row>
    <row r="293" spans="1:22" s="5" customFormat="1">
      <c r="A293" s="5">
        <v>180</v>
      </c>
      <c r="B293" s="17">
        <f t="shared" si="68"/>
        <v>130</v>
      </c>
      <c r="C293" s="5">
        <v>119.95099999999999</v>
      </c>
      <c r="D293" s="5">
        <v>124.056</v>
      </c>
      <c r="E293" s="5">
        <f t="shared" si="69"/>
        <v>115.99299999999999</v>
      </c>
      <c r="F293" s="25">
        <f>360-(115.984+D293+C293)</f>
        <v>9.0000000000145519E-3</v>
      </c>
      <c r="G293" s="30">
        <v>1.343</v>
      </c>
      <c r="H293" s="9">
        <v>1.7949999999999999</v>
      </c>
      <c r="I293" s="9">
        <v>-1.627</v>
      </c>
      <c r="J293" s="8" t="s">
        <v>102</v>
      </c>
      <c r="K293" s="21">
        <v>177.3</v>
      </c>
      <c r="L293" s="3">
        <f t="shared" si="60"/>
        <v>180.37199999999999</v>
      </c>
      <c r="M293" s="3">
        <f t="shared" si="70"/>
        <v>360.37199999999996</v>
      </c>
      <c r="N293" s="3">
        <f t="shared" si="71"/>
        <v>0.37199999999995725</v>
      </c>
      <c r="O293" s="27">
        <f t="shared" si="72"/>
        <v>0.37199999999995725</v>
      </c>
      <c r="P293" s="17">
        <f t="shared" si="61"/>
        <v>-0.15300000000004377</v>
      </c>
      <c r="Q293" s="3">
        <f t="shared" si="62"/>
        <v>176.95</v>
      </c>
      <c r="R293" s="3">
        <f t="shared" si="65"/>
        <v>356.95</v>
      </c>
      <c r="S293" s="3">
        <f t="shared" si="66"/>
        <v>356.95</v>
      </c>
      <c r="T293" s="27">
        <f t="shared" si="67"/>
        <v>-3.0500000000000114</v>
      </c>
      <c r="U293" s="17">
        <f t="shared" si="63"/>
        <v>0.37887837837836447</v>
      </c>
      <c r="V293" s="27">
        <f t="shared" si="64"/>
        <v>8.3999999999999964E-2</v>
      </c>
    </row>
    <row r="294" spans="1:22" s="5" customFormat="1">
      <c r="A294" s="5">
        <v>180</v>
      </c>
      <c r="B294" s="17">
        <f t="shared" si="68"/>
        <v>140</v>
      </c>
      <c r="C294" s="5">
        <v>120.157</v>
      </c>
      <c r="D294" s="5">
        <v>124.026</v>
      </c>
      <c r="E294" s="5">
        <f t="shared" si="69"/>
        <v>115.81700000000001</v>
      </c>
      <c r="F294" s="25">
        <f>360-(115.817+D294+C294)</f>
        <v>0</v>
      </c>
      <c r="G294" s="30">
        <v>1.343</v>
      </c>
      <c r="H294" s="8" t="s">
        <v>103</v>
      </c>
      <c r="I294" s="8">
        <v>-3.1419999999999999</v>
      </c>
      <c r="J294" s="9">
        <v>177.38399999999999</v>
      </c>
      <c r="K294" s="21">
        <v>176.68799999999999</v>
      </c>
      <c r="L294" s="3">
        <f t="shared" si="60"/>
        <v>-180.17</v>
      </c>
      <c r="M294" s="3">
        <f t="shared" si="70"/>
        <v>-0.16999999999998749</v>
      </c>
      <c r="N294" s="3">
        <f t="shared" si="71"/>
        <v>359.83000000000004</v>
      </c>
      <c r="O294" s="27">
        <f t="shared" si="72"/>
        <v>-0.16999999999995907</v>
      </c>
      <c r="P294" s="17">
        <f t="shared" si="61"/>
        <v>-0.69499999999996009</v>
      </c>
      <c r="Q294" s="3">
        <f t="shared" si="62"/>
        <v>-180.52599999999998</v>
      </c>
      <c r="R294" s="3">
        <f t="shared" si="65"/>
        <v>-0.52599999999998204</v>
      </c>
      <c r="S294" s="3">
        <f t="shared" si="66"/>
        <v>359.47400000000005</v>
      </c>
      <c r="T294" s="27">
        <f t="shared" si="67"/>
        <v>-0.52599999999995362</v>
      </c>
      <c r="U294" s="17">
        <f t="shared" si="63"/>
        <v>2.9028783783784222</v>
      </c>
      <c r="V294" s="27">
        <f t="shared" si="64"/>
        <v>-2.964</v>
      </c>
    </row>
    <row r="295" spans="1:22" s="5" customFormat="1">
      <c r="A295" s="5">
        <v>180</v>
      </c>
      <c r="B295" s="17">
        <f t="shared" si="68"/>
        <v>150</v>
      </c>
      <c r="C295" s="5">
        <v>120.425</v>
      </c>
      <c r="D295" s="5">
        <v>124.03400000000001</v>
      </c>
      <c r="E295" s="5">
        <f t="shared" si="69"/>
        <v>115.541</v>
      </c>
      <c r="F295" s="25">
        <f>360-(115.539+D295+C295)</f>
        <v>2.0000000000095497E-3</v>
      </c>
      <c r="G295" s="30">
        <v>1.343</v>
      </c>
      <c r="H295" s="8" t="s">
        <v>104</v>
      </c>
      <c r="I295" s="8">
        <v>-3.9049999999999998</v>
      </c>
      <c r="J295" s="9">
        <v>177.631</v>
      </c>
      <c r="K295" s="21">
        <v>176.55099999999999</v>
      </c>
      <c r="L295" s="3">
        <f t="shared" si="60"/>
        <v>-179.54499999999999</v>
      </c>
      <c r="M295" s="3">
        <f t="shared" si="70"/>
        <v>0.45500000000001251</v>
      </c>
      <c r="N295" s="3">
        <f t="shared" si="71"/>
        <v>0.45500000000001251</v>
      </c>
      <c r="O295" s="27">
        <f t="shared" si="72"/>
        <v>0.45500000000001251</v>
      </c>
      <c r="P295" s="17">
        <f t="shared" si="61"/>
        <v>-6.9999999999988516E-2</v>
      </c>
      <c r="Q295" s="3">
        <f t="shared" si="62"/>
        <v>-181.536</v>
      </c>
      <c r="R295" s="3">
        <f t="shared" si="65"/>
        <v>-1.5360000000000014</v>
      </c>
      <c r="S295" s="3">
        <f t="shared" si="66"/>
        <v>358.464</v>
      </c>
      <c r="T295" s="27">
        <f t="shared" si="67"/>
        <v>-1.5360000000000014</v>
      </c>
      <c r="U295" s="17">
        <f t="shared" si="63"/>
        <v>1.8928783783783745</v>
      </c>
      <c r="V295" s="27">
        <f t="shared" si="64"/>
        <v>-2.9095</v>
      </c>
    </row>
    <row r="296" spans="1:22" s="5" customFormat="1">
      <c r="A296" s="5">
        <v>180</v>
      </c>
      <c r="B296" s="17">
        <f t="shared" si="68"/>
        <v>160</v>
      </c>
      <c r="C296" s="5">
        <v>120.71</v>
      </c>
      <c r="D296" s="5">
        <v>124.026</v>
      </c>
      <c r="E296" s="5">
        <f t="shared" si="69"/>
        <v>115.26400000000001</v>
      </c>
      <c r="F296" s="25">
        <f>360-(115.258+D296+C296)</f>
        <v>6.0000000000286491E-3</v>
      </c>
      <c r="G296" s="30">
        <v>1.343</v>
      </c>
      <c r="H296" s="8" t="s">
        <v>105</v>
      </c>
      <c r="I296" s="8">
        <v>-3.9510000000000001</v>
      </c>
      <c r="J296" s="9">
        <v>177.73599999999999</v>
      </c>
      <c r="K296" s="21">
        <v>176.89699999999999</v>
      </c>
      <c r="L296" s="3">
        <f t="shared" si="60"/>
        <v>-179.15199999999999</v>
      </c>
      <c r="M296" s="3">
        <f t="shared" si="70"/>
        <v>0.84800000000001319</v>
      </c>
      <c r="N296" s="3">
        <f t="shared" si="71"/>
        <v>0.84800000000001319</v>
      </c>
      <c r="O296" s="27">
        <f t="shared" si="72"/>
        <v>0.84800000000001319</v>
      </c>
      <c r="P296" s="17">
        <f t="shared" si="61"/>
        <v>0.32300000000001217</v>
      </c>
      <c r="Q296" s="3">
        <f t="shared" si="62"/>
        <v>-181.68699999999998</v>
      </c>
      <c r="R296" s="3">
        <f t="shared" si="65"/>
        <v>-1.6869999999999834</v>
      </c>
      <c r="S296" s="3">
        <f t="shared" si="66"/>
        <v>358.31299999999999</v>
      </c>
      <c r="T296" s="27">
        <f t="shared" si="67"/>
        <v>-1.6870000000000118</v>
      </c>
      <c r="U296" s="17">
        <f t="shared" si="63"/>
        <v>1.741878378378364</v>
      </c>
      <c r="V296" s="27">
        <f t="shared" si="64"/>
        <v>-2.6835</v>
      </c>
    </row>
    <row r="297" spans="1:22" s="5" customFormat="1">
      <c r="A297" s="5">
        <v>180</v>
      </c>
      <c r="B297" s="17">
        <f>B296+10</f>
        <v>170</v>
      </c>
      <c r="C297" s="5">
        <v>120.92</v>
      </c>
      <c r="D297" s="5">
        <v>124.054</v>
      </c>
      <c r="E297" s="5">
        <f t="shared" si="69"/>
        <v>115.02600000000001</v>
      </c>
      <c r="F297" s="25">
        <f>360-(115.019+D297+C297)</f>
        <v>7.0000000000050022E-3</v>
      </c>
      <c r="G297" s="30">
        <v>1.343</v>
      </c>
      <c r="H297" s="8" t="s">
        <v>106</v>
      </c>
      <c r="I297" s="8">
        <v>-3.4780000000000002</v>
      </c>
      <c r="J297" s="9">
        <v>178.26900000000001</v>
      </c>
      <c r="K297" s="21">
        <v>177.46799999999999</v>
      </c>
      <c r="L297" s="3">
        <f t="shared" si="60"/>
        <v>-179.054</v>
      </c>
      <c r="M297" s="3">
        <f t="shared" si="70"/>
        <v>0.94599999999999795</v>
      </c>
      <c r="N297" s="3">
        <f t="shared" si="71"/>
        <v>0.94599999999999795</v>
      </c>
      <c r="O297" s="27">
        <f t="shared" si="72"/>
        <v>0.94599999999999795</v>
      </c>
      <c r="P297" s="17">
        <f t="shared" si="61"/>
        <v>0.42099999999999693</v>
      </c>
      <c r="Q297" s="3">
        <f t="shared" si="62"/>
        <v>-181.74700000000001</v>
      </c>
      <c r="R297" s="3">
        <f t="shared" si="65"/>
        <v>-1.7470000000000141</v>
      </c>
      <c r="S297" s="3">
        <f t="shared" si="66"/>
        <v>358.25299999999999</v>
      </c>
      <c r="T297" s="27">
        <f t="shared" si="67"/>
        <v>-1.7470000000000141</v>
      </c>
      <c r="U297" s="17">
        <f t="shared" si="63"/>
        <v>1.6818783783783617</v>
      </c>
      <c r="V297" s="27">
        <f t="shared" si="64"/>
        <v>-2.1315</v>
      </c>
    </row>
    <row r="298" spans="1:22" s="11" customFormat="1" ht="19" thickBot="1">
      <c r="A298" s="11">
        <v>180</v>
      </c>
      <c r="B298" s="18">
        <f t="shared" si="68"/>
        <v>180</v>
      </c>
      <c r="C298" s="11">
        <v>121.005</v>
      </c>
      <c r="D298" s="11">
        <v>124.026</v>
      </c>
      <c r="E298" s="11">
        <f t="shared" si="69"/>
        <v>114.96899999999999</v>
      </c>
      <c r="F298" s="26">
        <f>360-(114.966+D298+C298)</f>
        <v>3.0000000000427463E-3</v>
      </c>
      <c r="G298" s="31">
        <v>1.343</v>
      </c>
      <c r="H298" s="13">
        <v>1.3879999999999999</v>
      </c>
      <c r="I298" s="13">
        <v>-2.403</v>
      </c>
      <c r="J298" s="12" t="s">
        <v>75</v>
      </c>
      <c r="K298" s="22">
        <v>178.137</v>
      </c>
      <c r="L298" s="11">
        <f t="shared" si="60"/>
        <v>180.53900000000002</v>
      </c>
      <c r="M298" s="11">
        <f t="shared" si="70"/>
        <v>360.53899999999999</v>
      </c>
      <c r="N298" s="11">
        <f t="shared" si="71"/>
        <v>0.53899999999998727</v>
      </c>
      <c r="O298" s="28">
        <f t="shared" si="72"/>
        <v>0.53899999999998727</v>
      </c>
      <c r="P298" s="18">
        <f t="shared" si="61"/>
        <v>1.3999999999986246E-2</v>
      </c>
      <c r="Q298" s="11">
        <f t="shared" si="62"/>
        <v>176.74800000000002</v>
      </c>
      <c r="R298" s="11">
        <f t="shared" si="65"/>
        <v>356.74800000000005</v>
      </c>
      <c r="S298" s="11">
        <f t="shared" si="66"/>
        <v>356.74800000000005</v>
      </c>
      <c r="T298" s="28">
        <f t="shared" si="67"/>
        <v>-3.2519999999999527</v>
      </c>
      <c r="U298" s="18">
        <f t="shared" si="63"/>
        <v>0.17687837837842313</v>
      </c>
      <c r="V298" s="28">
        <f t="shared" si="64"/>
        <v>-0.50750000000000006</v>
      </c>
    </row>
    <row r="299" spans="1:22" s="4" customFormat="1" ht="21" thickTop="1">
      <c r="B299" s="19"/>
      <c r="E299" s="10" t="s">
        <v>248</v>
      </c>
      <c r="F299" s="20">
        <f>AVERAGE(F3:F298)</f>
        <v>3.6858108108108384E-2</v>
      </c>
      <c r="G299" s="32">
        <f>AVERAGE(G3:G298)</f>
        <v>1.34577364864865</v>
      </c>
      <c r="K299" s="19"/>
      <c r="M299" s="10"/>
      <c r="N299" s="10" t="s">
        <v>245</v>
      </c>
      <c r="O299" s="10">
        <f>AVERAGE(O3:O298)</f>
        <v>0.52500000000000102</v>
      </c>
      <c r="P299" s="19"/>
      <c r="S299" s="10" t="s">
        <v>258</v>
      </c>
      <c r="T299" s="10">
        <f>AVERAGE(T3:T298)</f>
        <v>-3.4288783783783758</v>
      </c>
      <c r="U299" s="19"/>
      <c r="V299" s="10">
        <f>AVERAGE(V3:V298)</f>
        <v>-0.41891891891891908</v>
      </c>
    </row>
    <row r="300" spans="1:22" s="4" customFormat="1">
      <c r="B300" s="19"/>
      <c r="E300" s="10" t="s">
        <v>249</v>
      </c>
      <c r="F300" s="20">
        <f>STDEV(F3:F298)</f>
        <v>4.8489105557479893E-2</v>
      </c>
      <c r="G300" s="20">
        <f>STDEV(G3:G298)</f>
        <v>2.3877047055445412E-3</v>
      </c>
      <c r="K300" s="19"/>
      <c r="M300" s="10"/>
      <c r="N300" s="10"/>
      <c r="P300" s="19"/>
      <c r="U300" s="19"/>
    </row>
    <row r="301" spans="1:22" s="4" customFormat="1">
      <c r="B301" s="19"/>
      <c r="F301" s="19"/>
      <c r="G301" s="33"/>
      <c r="K301" s="19"/>
      <c r="N301" s="10"/>
      <c r="P301" s="19"/>
      <c r="U301" s="19"/>
    </row>
    <row r="302" spans="1:22" s="4" customFormat="1">
      <c r="B302" s="19"/>
      <c r="F302" s="19"/>
      <c r="G302" s="33"/>
      <c r="K302" s="19"/>
      <c r="N302" s="3"/>
      <c r="O302" s="3"/>
      <c r="P302" s="19"/>
      <c r="U302" s="19"/>
    </row>
    <row r="303" spans="1:22" s="4" customFormat="1">
      <c r="B303" s="19"/>
      <c r="F303" s="19"/>
      <c r="G303" s="33"/>
      <c r="K303" s="19"/>
      <c r="P303" s="19"/>
      <c r="U303" s="19"/>
    </row>
    <row r="304" spans="1:22" s="4" customFormat="1">
      <c r="B304" s="19"/>
      <c r="F304" s="19"/>
      <c r="G304" s="33"/>
      <c r="K304" s="19"/>
      <c r="P304" s="19"/>
      <c r="U304" s="19"/>
    </row>
    <row r="305" spans="2:21" s="4" customFormat="1">
      <c r="B305" s="19"/>
      <c r="F305" s="19"/>
      <c r="G305" s="33"/>
      <c r="H305" s="14"/>
      <c r="I305" s="14"/>
      <c r="K305" s="23"/>
      <c r="N305" s="3"/>
      <c r="O305" s="3"/>
      <c r="P305" s="19"/>
      <c r="U305" s="19"/>
    </row>
    <row r="306" spans="2:21" s="4" customFormat="1">
      <c r="B306" s="19"/>
      <c r="F306" s="19"/>
      <c r="G306" s="33"/>
      <c r="K306" s="19"/>
      <c r="P306" s="19"/>
      <c r="U306" s="19"/>
    </row>
    <row r="307" spans="2:21" s="4" customFormat="1">
      <c r="B307" s="19"/>
      <c r="F307" s="19"/>
      <c r="G307" s="33"/>
      <c r="H307" s="14"/>
      <c r="I307" s="14"/>
      <c r="K307" s="23"/>
      <c r="N307" s="1"/>
      <c r="O307" s="1"/>
      <c r="P307" s="19"/>
      <c r="U307" s="19"/>
    </row>
    <row r="308" spans="2:21" s="4" customFormat="1">
      <c r="B308" s="19"/>
      <c r="F308" s="19"/>
      <c r="G308" s="33"/>
      <c r="K308" s="19"/>
      <c r="N308" s="1"/>
      <c r="O308" s="1"/>
      <c r="P308" s="19"/>
      <c r="U308" s="19"/>
    </row>
    <row r="309" spans="2:21" s="4" customFormat="1">
      <c r="B309" s="19"/>
      <c r="F309" s="19"/>
      <c r="G309" s="33"/>
      <c r="H309" s="1"/>
      <c r="I309" s="1"/>
      <c r="J309" s="1"/>
      <c r="K309" s="19"/>
      <c r="L309" s="1"/>
      <c r="M309" s="1"/>
      <c r="N309" s="1"/>
      <c r="O309" s="1"/>
      <c r="P309" s="24"/>
      <c r="Q309" s="1"/>
      <c r="R309" s="1"/>
      <c r="S309" s="1"/>
      <c r="T309" s="1"/>
      <c r="U309" s="19"/>
    </row>
    <row r="310" spans="2:21">
      <c r="E310" s="1"/>
    </row>
    <row r="311" spans="2:21">
      <c r="E311" s="1"/>
    </row>
    <row r="312" spans="2:21">
      <c r="E312" s="1"/>
    </row>
    <row r="313" spans="2:21">
      <c r="E313" s="1"/>
    </row>
    <row r="314" spans="2:21">
      <c r="E314" s="1"/>
    </row>
    <row r="315" spans="2:21">
      <c r="E315" s="1"/>
    </row>
    <row r="316" spans="2:21">
      <c r="E316" s="1"/>
    </row>
    <row r="317" spans="2:21">
      <c r="E317" s="1"/>
    </row>
    <row r="318" spans="2:21">
      <c r="E318" s="1"/>
    </row>
    <row r="319" spans="2:21">
      <c r="E319" s="1"/>
    </row>
    <row r="320" spans="2:21">
      <c r="E320" s="1"/>
    </row>
    <row r="321" spans="5:5">
      <c r="E321" s="1"/>
    </row>
    <row r="322" spans="5:5">
      <c r="E322" s="1"/>
    </row>
    <row r="323" spans="5:5">
      <c r="E323" s="1"/>
    </row>
    <row r="324" spans="5:5">
      <c r="E324" s="1"/>
    </row>
    <row r="325" spans="5:5">
      <c r="E325" s="1"/>
    </row>
    <row r="326" spans="5:5">
      <c r="E326" s="1"/>
    </row>
    <row r="327" spans="5:5">
      <c r="E327" s="1"/>
    </row>
    <row r="328" spans="5:5">
      <c r="E328" s="1"/>
    </row>
    <row r="329" spans="5:5">
      <c r="E329" s="1"/>
    </row>
    <row r="330" spans="5:5">
      <c r="E330" s="1"/>
    </row>
    <row r="331" spans="5:5">
      <c r="E331" s="1"/>
    </row>
    <row r="332" spans="5:5">
      <c r="E332" s="1"/>
    </row>
    <row r="333" spans="5:5">
      <c r="E333" s="1"/>
    </row>
    <row r="334" spans="5:5">
      <c r="E334" s="1"/>
    </row>
    <row r="335" spans="5:5">
      <c r="E335" s="1"/>
    </row>
    <row r="336" spans="5:5">
      <c r="E336" s="1"/>
    </row>
    <row r="337" spans="5:5">
      <c r="E337" s="1"/>
    </row>
    <row r="338" spans="5:5">
      <c r="E338" s="1"/>
    </row>
    <row r="339" spans="5:5">
      <c r="E339" s="1"/>
    </row>
    <row r="340" spans="5:5">
      <c r="E340" s="1"/>
    </row>
    <row r="341" spans="5:5">
      <c r="E341" s="1"/>
    </row>
    <row r="342" spans="5:5">
      <c r="E342" s="1"/>
    </row>
    <row r="343" spans="5:5">
      <c r="E343" s="1"/>
    </row>
    <row r="344" spans="5:5">
      <c r="E344" s="1"/>
    </row>
    <row r="345" spans="5:5">
      <c r="E345" s="1"/>
    </row>
    <row r="346" spans="5:5">
      <c r="E346" s="1"/>
    </row>
    <row r="347" spans="5:5">
      <c r="E347" s="1"/>
    </row>
    <row r="348" spans="5:5">
      <c r="E348" s="1"/>
    </row>
    <row r="349" spans="5:5">
      <c r="E349" s="1"/>
    </row>
    <row r="350" spans="5:5">
      <c r="E350" s="1"/>
    </row>
    <row r="351" spans="5:5">
      <c r="E351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 Deformations</vt:lpstr>
    </vt:vector>
  </TitlesOfParts>
  <Company>University of Wisconsin-Madison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Strieter</dc:creator>
  <cp:lastModifiedBy>Eric Strieter</cp:lastModifiedBy>
  <dcterms:created xsi:type="dcterms:W3CDTF">2014-12-29T16:09:11Z</dcterms:created>
  <dcterms:modified xsi:type="dcterms:W3CDTF">2015-07-20T02:01:56Z</dcterms:modified>
</cp:coreProperties>
</file>