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calvete/Documents/Snakevenomics/Walterinnesia/Manuscrito/Submission/"/>
    </mc:Choice>
  </mc:AlternateContent>
  <xr:revisionPtr revIDLastSave="0" documentId="13_ncr:1_{AE08A329-E428-2043-830B-3A6D96BFE68A}" xr6:coauthVersionLast="36" xr6:coauthVersionMax="36" xr10:uidLastSave="{00000000-0000-0000-0000-000000000000}"/>
  <bookViews>
    <workbookView xWindow="0" yWindow="460" windowWidth="33600" windowHeight="18820" activeTab="6" xr2:uid="{26164253-27D2-3347-83A4-570654FFB66E}"/>
  </bookViews>
  <sheets>
    <sheet name="INDEX" sheetId="9" r:id="rId1"/>
    <sheet name="Transcriptomic database" sheetId="4" r:id="rId2"/>
    <sheet name="W. aegyptia (Sinai)" sheetId="2" r:id="rId3"/>
    <sheet name="W. aegyptia (Riyadh)" sheetId="3" r:id="rId4"/>
    <sheet name="W. morgani" sheetId="1" r:id="rId5"/>
    <sheet name="Top-Down MS IDs" sheetId="5" r:id="rId6"/>
    <sheet name="W. aegyptia (Sinai) ICP-MS" sheetId="7" r:id="rId7"/>
    <sheet name="W. aegyptia (Riyadh) ICP-MS" sheetId="8" r:id="rId8"/>
    <sheet name="W. morgani ICP-MS" sheetId="6" r:id="rId9"/>
  </sheets>
  <definedNames>
    <definedName name="_xlnm.Print_Area" localSheetId="3">'W. aegyptia (Riyadh)'!$D$69:$O$132</definedName>
    <definedName name="_xlnm.Print_Area" localSheetId="2">'W. aegyptia (Sinai)'!$D$11:$O$69</definedName>
    <definedName name="_xlnm.Print_Area" localSheetId="4">'W. morgani'!$D$10:$Q$79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5" i="7" l="1"/>
  <c r="AC74" i="6" l="1"/>
  <c r="Y54" i="6" l="1"/>
  <c r="AD82" i="6" l="1"/>
  <c r="AD66" i="8"/>
  <c r="AC69" i="6" l="1"/>
  <c r="AC52" i="8"/>
  <c r="Y8" i="8" l="1"/>
  <c r="X8" i="8"/>
  <c r="W8" i="8"/>
  <c r="AD82" i="7" l="1"/>
  <c r="AD80" i="7"/>
  <c r="AD74" i="6" l="1"/>
  <c r="AD84" i="6" s="1"/>
  <c r="AC56" i="8"/>
  <c r="E263" i="3" l="1"/>
  <c r="E164" i="2"/>
  <c r="AC53" i="8"/>
  <c r="AC54" i="8"/>
  <c r="AC55" i="8"/>
  <c r="Y4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P53" i="7" l="1"/>
  <c r="P57" i="7"/>
  <c r="Q57" i="7" s="1"/>
  <c r="U57" i="7"/>
  <c r="W57" i="7" l="1"/>
  <c r="X57" i="7" s="1"/>
  <c r="U60" i="7" l="1"/>
  <c r="U59" i="7"/>
  <c r="P59" i="7"/>
  <c r="P60" i="7"/>
  <c r="Q60" i="7" s="1"/>
  <c r="W60" i="7" s="1"/>
  <c r="U58" i="7"/>
  <c r="P58" i="7"/>
  <c r="Q58" i="7" s="1"/>
  <c r="U53" i="7"/>
  <c r="P52" i="7"/>
  <c r="Q53" i="7"/>
  <c r="U47" i="7"/>
  <c r="U51" i="7"/>
  <c r="W53" i="7" l="1"/>
  <c r="X53" i="7" s="1"/>
  <c r="W58" i="7"/>
  <c r="X58" i="7" s="1"/>
  <c r="K64" i="7"/>
  <c r="M49" i="7"/>
  <c r="M50" i="7"/>
  <c r="P50" i="7" s="1"/>
  <c r="M51" i="7"/>
  <c r="P51" i="7" s="1"/>
  <c r="Q51" i="7" s="1"/>
  <c r="W51" i="7" s="1"/>
  <c r="X51" i="7" s="1"/>
  <c r="M48" i="7"/>
  <c r="M46" i="7"/>
  <c r="M45" i="7"/>
  <c r="M47" i="7"/>
  <c r="P47" i="7" s="1"/>
  <c r="Q47" i="7" s="1"/>
  <c r="W47" i="7" s="1"/>
  <c r="X47" i="7" s="1"/>
  <c r="U12" i="6" l="1"/>
  <c r="U11" i="6"/>
  <c r="N48" i="8" l="1"/>
  <c r="U19" i="7" l="1"/>
  <c r="K48" i="8" l="1"/>
  <c r="L45" i="8" s="1"/>
  <c r="U47" i="8"/>
  <c r="M47" i="8"/>
  <c r="P47" i="8" s="1"/>
  <c r="Q47" i="8" s="1"/>
  <c r="W47" i="8" s="1"/>
  <c r="X47" i="8" s="1"/>
  <c r="U46" i="8"/>
  <c r="P46" i="8"/>
  <c r="Q46" i="8" s="1"/>
  <c r="W46" i="8" s="1"/>
  <c r="X46" i="8" s="1"/>
  <c r="M46" i="8"/>
  <c r="U45" i="8"/>
  <c r="M45" i="8"/>
  <c r="P45" i="8" s="1"/>
  <c r="Q45" i="8" s="1"/>
  <c r="W45" i="8" s="1"/>
  <c r="X45" i="8" s="1"/>
  <c r="U44" i="8"/>
  <c r="P44" i="8"/>
  <c r="Q44" i="8" s="1"/>
  <c r="W44" i="8" s="1"/>
  <c r="X44" i="8" s="1"/>
  <c r="L44" i="8"/>
  <c r="U43" i="8"/>
  <c r="M43" i="8"/>
  <c r="P43" i="8" s="1"/>
  <c r="Q43" i="8" s="1"/>
  <c r="W43" i="8" s="1"/>
  <c r="X43" i="8" s="1"/>
  <c r="L43" i="8"/>
  <c r="U42" i="8"/>
  <c r="M42" i="8"/>
  <c r="P42" i="8" s="1"/>
  <c r="Q42" i="8" s="1"/>
  <c r="W42" i="8" s="1"/>
  <c r="X42" i="8" s="1"/>
  <c r="L42" i="8"/>
  <c r="U41" i="8"/>
  <c r="P41" i="8"/>
  <c r="Q41" i="8" s="1"/>
  <c r="W41" i="8" s="1"/>
  <c r="X41" i="8" s="1"/>
  <c r="M41" i="8"/>
  <c r="L41" i="8"/>
  <c r="U40" i="8"/>
  <c r="M40" i="8"/>
  <c r="P40" i="8" s="1"/>
  <c r="Q40" i="8" s="1"/>
  <c r="W40" i="8" s="1"/>
  <c r="X40" i="8" s="1"/>
  <c r="L40" i="8"/>
  <c r="U39" i="8"/>
  <c r="P39" i="8"/>
  <c r="Q39" i="8" s="1"/>
  <c r="W39" i="8" s="1"/>
  <c r="X39" i="8" s="1"/>
  <c r="M39" i="8"/>
  <c r="L39" i="8"/>
  <c r="U38" i="8"/>
  <c r="P38" i="8"/>
  <c r="Q38" i="8" s="1"/>
  <c r="W38" i="8" s="1"/>
  <c r="X38" i="8" s="1"/>
  <c r="L38" i="8"/>
  <c r="U37" i="8"/>
  <c r="M37" i="8"/>
  <c r="P37" i="8" s="1"/>
  <c r="Q37" i="8" s="1"/>
  <c r="W37" i="8" s="1"/>
  <c r="X37" i="8" s="1"/>
  <c r="L37" i="8"/>
  <c r="U36" i="8"/>
  <c r="M36" i="8"/>
  <c r="P36" i="8" s="1"/>
  <c r="Q36" i="8" s="1"/>
  <c r="W36" i="8" s="1"/>
  <c r="X36" i="8" s="1"/>
  <c r="L36" i="8"/>
  <c r="U35" i="8"/>
  <c r="M35" i="8"/>
  <c r="P35" i="8" s="1"/>
  <c r="Q35" i="8" s="1"/>
  <c r="W35" i="8" s="1"/>
  <c r="X35" i="8" s="1"/>
  <c r="L35" i="8"/>
  <c r="U34" i="8"/>
  <c r="P34" i="8"/>
  <c r="Q34" i="8" s="1"/>
  <c r="W34" i="8" s="1"/>
  <c r="X34" i="8" s="1"/>
  <c r="M34" i="8"/>
  <c r="L34" i="8"/>
  <c r="U33" i="8"/>
  <c r="M33" i="8"/>
  <c r="P33" i="8" s="1"/>
  <c r="Q33" i="8" s="1"/>
  <c r="W33" i="8" s="1"/>
  <c r="X33" i="8" s="1"/>
  <c r="L33" i="8"/>
  <c r="U32" i="8"/>
  <c r="P32" i="8"/>
  <c r="Q32" i="8" s="1"/>
  <c r="W32" i="8" s="1"/>
  <c r="X32" i="8" s="1"/>
  <c r="M32" i="8"/>
  <c r="L32" i="8"/>
  <c r="U31" i="8"/>
  <c r="M31" i="8"/>
  <c r="P31" i="8" s="1"/>
  <c r="Q31" i="8" s="1"/>
  <c r="W31" i="8" s="1"/>
  <c r="X31" i="8" s="1"/>
  <c r="L31" i="8"/>
  <c r="U30" i="8"/>
  <c r="M30" i="8"/>
  <c r="P30" i="8" s="1"/>
  <c r="Q30" i="8" s="1"/>
  <c r="W30" i="8" s="1"/>
  <c r="X30" i="8" s="1"/>
  <c r="L30" i="8"/>
  <c r="U29" i="8"/>
  <c r="M29" i="8"/>
  <c r="P29" i="8" s="1"/>
  <c r="Q29" i="8" s="1"/>
  <c r="W29" i="8" s="1"/>
  <c r="X29" i="8" s="1"/>
  <c r="L29" i="8"/>
  <c r="U28" i="8"/>
  <c r="M28" i="8"/>
  <c r="P28" i="8" s="1"/>
  <c r="Q28" i="8" s="1"/>
  <c r="W28" i="8" s="1"/>
  <c r="X28" i="8" s="1"/>
  <c r="L28" i="8"/>
  <c r="U27" i="8"/>
  <c r="M27" i="8"/>
  <c r="P27" i="8" s="1"/>
  <c r="Q27" i="8" s="1"/>
  <c r="W27" i="8" s="1"/>
  <c r="X27" i="8" s="1"/>
  <c r="L27" i="8"/>
  <c r="U26" i="8"/>
  <c r="P26" i="8"/>
  <c r="Q26" i="8" s="1"/>
  <c r="W26" i="8" s="1"/>
  <c r="X26" i="8" s="1"/>
  <c r="M26" i="8"/>
  <c r="L26" i="8"/>
  <c r="U25" i="8"/>
  <c r="M25" i="8"/>
  <c r="P25" i="8" s="1"/>
  <c r="Q25" i="8" s="1"/>
  <c r="W25" i="8" s="1"/>
  <c r="X25" i="8" s="1"/>
  <c r="L25" i="8"/>
  <c r="U24" i="8"/>
  <c r="P24" i="8"/>
  <c r="Q24" i="8" s="1"/>
  <c r="W24" i="8" s="1"/>
  <c r="X24" i="8" s="1"/>
  <c r="M24" i="8"/>
  <c r="L24" i="8"/>
  <c r="U23" i="8"/>
  <c r="M23" i="8"/>
  <c r="P23" i="8" s="1"/>
  <c r="Q23" i="8" s="1"/>
  <c r="W23" i="8" s="1"/>
  <c r="X23" i="8" s="1"/>
  <c r="L23" i="8"/>
  <c r="U22" i="8"/>
  <c r="P22" i="8"/>
  <c r="Q22" i="8" s="1"/>
  <c r="W22" i="8" s="1"/>
  <c r="X22" i="8" s="1"/>
  <c r="L22" i="8"/>
  <c r="U21" i="8"/>
  <c r="P21" i="8"/>
  <c r="Q21" i="8" s="1"/>
  <c r="W21" i="8" s="1"/>
  <c r="X21" i="8" s="1"/>
  <c r="L21" i="8"/>
  <c r="U20" i="8"/>
  <c r="P20" i="8"/>
  <c r="Q20" i="8" s="1"/>
  <c r="W20" i="8" s="1"/>
  <c r="X20" i="8" s="1"/>
  <c r="L20" i="8"/>
  <c r="U19" i="8"/>
  <c r="P19" i="8"/>
  <c r="Q19" i="8" s="1"/>
  <c r="W19" i="8" s="1"/>
  <c r="X19" i="8" s="1"/>
  <c r="M19" i="8"/>
  <c r="L19" i="8"/>
  <c r="U18" i="8"/>
  <c r="M18" i="8"/>
  <c r="P18" i="8" s="1"/>
  <c r="Q18" i="8" s="1"/>
  <c r="W18" i="8" s="1"/>
  <c r="X18" i="8" s="1"/>
  <c r="L18" i="8"/>
  <c r="U17" i="8"/>
  <c r="P17" i="8"/>
  <c r="Q17" i="8" s="1"/>
  <c r="W17" i="8" s="1"/>
  <c r="X17" i="8" s="1"/>
  <c r="M17" i="8"/>
  <c r="L17" i="8"/>
  <c r="U16" i="8"/>
  <c r="M16" i="8"/>
  <c r="P16" i="8" s="1"/>
  <c r="Q16" i="8" s="1"/>
  <c r="W16" i="8" s="1"/>
  <c r="X16" i="8" s="1"/>
  <c r="L16" i="8"/>
  <c r="U15" i="8"/>
  <c r="M15" i="8"/>
  <c r="P15" i="8" s="1"/>
  <c r="Q15" i="8" s="1"/>
  <c r="W15" i="8" s="1"/>
  <c r="X15" i="8" s="1"/>
  <c r="L15" i="8"/>
  <c r="U14" i="8"/>
  <c r="M14" i="8"/>
  <c r="P14" i="8" s="1"/>
  <c r="Q14" i="8" s="1"/>
  <c r="W14" i="8" s="1"/>
  <c r="X14" i="8" s="1"/>
  <c r="L14" i="8"/>
  <c r="U13" i="8"/>
  <c r="P13" i="8"/>
  <c r="Q13" i="8" s="1"/>
  <c r="W13" i="8" s="1"/>
  <c r="X13" i="8" s="1"/>
  <c r="M13" i="8"/>
  <c r="L13" i="8"/>
  <c r="U12" i="8"/>
  <c r="M12" i="8"/>
  <c r="P12" i="8" s="1"/>
  <c r="Q12" i="8" s="1"/>
  <c r="W12" i="8" s="1"/>
  <c r="X12" i="8" s="1"/>
  <c r="L12" i="8"/>
  <c r="U11" i="8"/>
  <c r="P11" i="8"/>
  <c r="Q11" i="8" s="1"/>
  <c r="W11" i="8" s="1"/>
  <c r="X11" i="8" s="1"/>
  <c r="M11" i="8"/>
  <c r="L11" i="8"/>
  <c r="U10" i="8"/>
  <c r="M10" i="8"/>
  <c r="P10" i="8" s="1"/>
  <c r="Q10" i="8" s="1"/>
  <c r="W10" i="8" s="1"/>
  <c r="X10" i="8" s="1"/>
  <c r="L10" i="8"/>
  <c r="U9" i="8"/>
  <c r="M9" i="8"/>
  <c r="P9" i="8" s="1"/>
  <c r="Q9" i="8" s="1"/>
  <c r="W9" i="8" s="1"/>
  <c r="X9" i="8" s="1"/>
  <c r="L9" i="8"/>
  <c r="U8" i="8"/>
  <c r="M8" i="8"/>
  <c r="P8" i="8" s="1"/>
  <c r="Q8" i="8" s="1"/>
  <c r="L8" i="8"/>
  <c r="N64" i="7"/>
  <c r="L20" i="7"/>
  <c r="U63" i="7"/>
  <c r="M63" i="7"/>
  <c r="P63" i="7" s="1"/>
  <c r="Q63" i="7" s="1"/>
  <c r="U62" i="7"/>
  <c r="M62" i="7"/>
  <c r="P62" i="7" s="1"/>
  <c r="Q62" i="7" s="1"/>
  <c r="U61" i="7"/>
  <c r="Q61" i="7"/>
  <c r="Q59" i="7"/>
  <c r="W59" i="7" s="1"/>
  <c r="X59" i="7" s="1"/>
  <c r="L59" i="7"/>
  <c r="U56" i="7"/>
  <c r="P56" i="7"/>
  <c r="Q56" i="7" s="1"/>
  <c r="U55" i="7"/>
  <c r="M55" i="7"/>
  <c r="P55" i="7" s="1"/>
  <c r="Q55" i="7" s="1"/>
  <c r="L55" i="7"/>
  <c r="U54" i="7"/>
  <c r="M54" i="7"/>
  <c r="P54" i="7" s="1"/>
  <c r="Q54" i="7" s="1"/>
  <c r="U52" i="7"/>
  <c r="Q52" i="7"/>
  <c r="U50" i="7"/>
  <c r="Q50" i="7"/>
  <c r="U49" i="7"/>
  <c r="P49" i="7"/>
  <c r="Q49" i="7" s="1"/>
  <c r="U48" i="7"/>
  <c r="P48" i="7"/>
  <c r="Q48" i="7" s="1"/>
  <c r="U46" i="7"/>
  <c r="P46" i="7"/>
  <c r="Q46" i="7" s="1"/>
  <c r="U45" i="7"/>
  <c r="P45" i="7"/>
  <c r="Q45" i="7" s="1"/>
  <c r="U44" i="7"/>
  <c r="M44" i="7"/>
  <c r="P44" i="7" s="1"/>
  <c r="Q44" i="7" s="1"/>
  <c r="U43" i="7"/>
  <c r="M43" i="7"/>
  <c r="P43" i="7" s="1"/>
  <c r="Q43" i="7" s="1"/>
  <c r="U42" i="7"/>
  <c r="M42" i="7"/>
  <c r="P42" i="7" s="1"/>
  <c r="Q42" i="7" s="1"/>
  <c r="U41" i="7"/>
  <c r="M41" i="7"/>
  <c r="P41" i="7" s="1"/>
  <c r="Q41" i="7" s="1"/>
  <c r="U40" i="7"/>
  <c r="M40" i="7"/>
  <c r="P40" i="7" s="1"/>
  <c r="Q40" i="7" s="1"/>
  <c r="U39" i="7"/>
  <c r="M39" i="7"/>
  <c r="P39" i="7" s="1"/>
  <c r="Q39" i="7" s="1"/>
  <c r="L39" i="7"/>
  <c r="U38" i="7"/>
  <c r="M38" i="7"/>
  <c r="P38" i="7" s="1"/>
  <c r="Q38" i="7" s="1"/>
  <c r="U37" i="7"/>
  <c r="M37" i="7"/>
  <c r="P37" i="7" s="1"/>
  <c r="Q37" i="7" s="1"/>
  <c r="U36" i="7"/>
  <c r="M36" i="7"/>
  <c r="P36" i="7" s="1"/>
  <c r="Q36" i="7" s="1"/>
  <c r="L36" i="7"/>
  <c r="U35" i="7"/>
  <c r="M35" i="7"/>
  <c r="P35" i="7" s="1"/>
  <c r="Q35" i="7" s="1"/>
  <c r="U34" i="7"/>
  <c r="M34" i="7"/>
  <c r="P34" i="7" s="1"/>
  <c r="Q34" i="7" s="1"/>
  <c r="U33" i="7"/>
  <c r="M33" i="7"/>
  <c r="P33" i="7" s="1"/>
  <c r="Q33" i="7" s="1"/>
  <c r="U32" i="7"/>
  <c r="M32" i="7"/>
  <c r="P32" i="7" s="1"/>
  <c r="Q32" i="7" s="1"/>
  <c r="U31" i="7"/>
  <c r="M31" i="7"/>
  <c r="P31" i="7" s="1"/>
  <c r="Q31" i="7" s="1"/>
  <c r="L31" i="7"/>
  <c r="U30" i="7"/>
  <c r="M30" i="7"/>
  <c r="P30" i="7" s="1"/>
  <c r="Q30" i="7" s="1"/>
  <c r="L30" i="7"/>
  <c r="U29" i="7"/>
  <c r="M29" i="7"/>
  <c r="P29" i="7" s="1"/>
  <c r="Q29" i="7" s="1"/>
  <c r="U28" i="7"/>
  <c r="M28" i="7"/>
  <c r="P28" i="7" s="1"/>
  <c r="Q28" i="7" s="1"/>
  <c r="L28" i="7"/>
  <c r="U27" i="7"/>
  <c r="M27" i="7"/>
  <c r="P27" i="7" s="1"/>
  <c r="Q27" i="7" s="1"/>
  <c r="U26" i="7"/>
  <c r="M26" i="7"/>
  <c r="P26" i="7" s="1"/>
  <c r="Q26" i="7" s="1"/>
  <c r="U25" i="7"/>
  <c r="M25" i="7"/>
  <c r="P25" i="7" s="1"/>
  <c r="Q25" i="7" s="1"/>
  <c r="U24" i="7"/>
  <c r="M24" i="7"/>
  <c r="P24" i="7" s="1"/>
  <c r="Q24" i="7" s="1"/>
  <c r="U23" i="7"/>
  <c r="M23" i="7"/>
  <c r="P23" i="7" s="1"/>
  <c r="Q23" i="7" s="1"/>
  <c r="U22" i="7"/>
  <c r="M22" i="7"/>
  <c r="P22" i="7" s="1"/>
  <c r="Q22" i="7" s="1"/>
  <c r="U21" i="7"/>
  <c r="M21" i="7"/>
  <c r="P21" i="7" s="1"/>
  <c r="Q21" i="7" s="1"/>
  <c r="U20" i="7"/>
  <c r="M20" i="7"/>
  <c r="P20" i="7" s="1"/>
  <c r="Q20" i="7" s="1"/>
  <c r="M19" i="7"/>
  <c r="P19" i="7" s="1"/>
  <c r="Q19" i="7" s="1"/>
  <c r="W19" i="7" s="1"/>
  <c r="X19" i="7" s="1"/>
  <c r="U18" i="7"/>
  <c r="M18" i="7"/>
  <c r="U17" i="7"/>
  <c r="M17" i="7"/>
  <c r="U16" i="7"/>
  <c r="M16" i="7"/>
  <c r="U15" i="7"/>
  <c r="M15" i="7"/>
  <c r="U14" i="7"/>
  <c r="M14" i="7"/>
  <c r="P14" i="7" s="1"/>
  <c r="Q14" i="7" s="1"/>
  <c r="U13" i="7"/>
  <c r="M13" i="7"/>
  <c r="P13" i="7" s="1"/>
  <c r="Q13" i="7" s="1"/>
  <c r="W13" i="7" s="1"/>
  <c r="X13" i="7" s="1"/>
  <c r="U12" i="7"/>
  <c r="M12" i="7"/>
  <c r="P12" i="7" s="1"/>
  <c r="Q12" i="7" s="1"/>
  <c r="U11" i="7"/>
  <c r="M11" i="7"/>
  <c r="P18" i="7" s="1"/>
  <c r="Q18" i="7" s="1"/>
  <c r="U10" i="7"/>
  <c r="M10" i="7"/>
  <c r="P17" i="7" s="1"/>
  <c r="Q17" i="7" s="1"/>
  <c r="U9" i="7"/>
  <c r="M9" i="7"/>
  <c r="P16" i="7" s="1"/>
  <c r="Q16" i="7" s="1"/>
  <c r="U8" i="7"/>
  <c r="M8" i="7"/>
  <c r="P15" i="7" s="1"/>
  <c r="Q15" i="7" s="1"/>
  <c r="N63" i="6"/>
  <c r="K63" i="6"/>
  <c r="L60" i="6" s="1"/>
  <c r="U62" i="6"/>
  <c r="P62" i="6"/>
  <c r="Q62" i="6" s="1"/>
  <c r="W62" i="6" s="1"/>
  <c r="X62" i="6" s="1"/>
  <c r="U61" i="6"/>
  <c r="P61" i="6"/>
  <c r="Q61" i="6" s="1"/>
  <c r="W61" i="6" s="1"/>
  <c r="X61" i="6" s="1"/>
  <c r="M61" i="6"/>
  <c r="U60" i="6"/>
  <c r="M60" i="6"/>
  <c r="P60" i="6" s="1"/>
  <c r="Q60" i="6" s="1"/>
  <c r="W60" i="6" s="1"/>
  <c r="X60" i="6" s="1"/>
  <c r="U59" i="6"/>
  <c r="P59" i="6"/>
  <c r="Q59" i="6" s="1"/>
  <c r="W59" i="6" s="1"/>
  <c r="X59" i="6" s="1"/>
  <c r="U58" i="6"/>
  <c r="M58" i="6"/>
  <c r="P58" i="6" s="1"/>
  <c r="Q58" i="6" s="1"/>
  <c r="W58" i="6" s="1"/>
  <c r="X58" i="6" s="1"/>
  <c r="L58" i="6"/>
  <c r="U57" i="6"/>
  <c r="M57" i="6"/>
  <c r="P57" i="6" s="1"/>
  <c r="Q57" i="6" s="1"/>
  <c r="W57" i="6" s="1"/>
  <c r="X57" i="6" s="1"/>
  <c r="L57" i="6"/>
  <c r="U56" i="6"/>
  <c r="P56" i="6"/>
  <c r="Q56" i="6" s="1"/>
  <c r="U55" i="6"/>
  <c r="P55" i="6"/>
  <c r="Q55" i="6" s="1"/>
  <c r="W55" i="6" s="1"/>
  <c r="X55" i="6" s="1"/>
  <c r="U54" i="6"/>
  <c r="P54" i="6"/>
  <c r="Q54" i="6" s="1"/>
  <c r="W54" i="6" s="1"/>
  <c r="X54" i="6" s="1"/>
  <c r="U53" i="6"/>
  <c r="M53" i="6"/>
  <c r="P53" i="6" s="1"/>
  <c r="Q53" i="6" s="1"/>
  <c r="W53" i="6" s="1"/>
  <c r="X53" i="6" s="1"/>
  <c r="U52" i="6"/>
  <c r="P52" i="6"/>
  <c r="Q52" i="6" s="1"/>
  <c r="W52" i="6" s="1"/>
  <c r="X52" i="6" s="1"/>
  <c r="M52" i="6"/>
  <c r="L52" i="6"/>
  <c r="U51" i="6"/>
  <c r="M51" i="6"/>
  <c r="P51" i="6" s="1"/>
  <c r="Q51" i="6" s="1"/>
  <c r="W51" i="6" s="1"/>
  <c r="X51" i="6" s="1"/>
  <c r="U50" i="6"/>
  <c r="M50" i="6"/>
  <c r="P50" i="6" s="1"/>
  <c r="Q50" i="6" s="1"/>
  <c r="W50" i="6" s="1"/>
  <c r="X50" i="6" s="1"/>
  <c r="L50" i="6"/>
  <c r="U49" i="6"/>
  <c r="M49" i="6"/>
  <c r="P49" i="6" s="1"/>
  <c r="Q49" i="6" s="1"/>
  <c r="W49" i="6" s="1"/>
  <c r="X49" i="6" s="1"/>
  <c r="L49" i="6"/>
  <c r="U48" i="6"/>
  <c r="P48" i="6"/>
  <c r="Q48" i="6" s="1"/>
  <c r="W48" i="6" s="1"/>
  <c r="X48" i="6" s="1"/>
  <c r="M48" i="6"/>
  <c r="L48" i="6"/>
  <c r="U47" i="6"/>
  <c r="M47" i="6"/>
  <c r="P47" i="6" s="1"/>
  <c r="Q47" i="6" s="1"/>
  <c r="W47" i="6" s="1"/>
  <c r="X47" i="6" s="1"/>
  <c r="U46" i="6"/>
  <c r="P46" i="6"/>
  <c r="Q46" i="6" s="1"/>
  <c r="W46" i="6" s="1"/>
  <c r="X46" i="6" s="1"/>
  <c r="U45" i="6"/>
  <c r="P45" i="6"/>
  <c r="Q45" i="6" s="1"/>
  <c r="W45" i="6" s="1"/>
  <c r="X45" i="6" s="1"/>
  <c r="L45" i="6"/>
  <c r="U44" i="6"/>
  <c r="P44" i="6"/>
  <c r="Q44" i="6" s="1"/>
  <c r="W44" i="6" s="1"/>
  <c r="X44" i="6" s="1"/>
  <c r="L44" i="6"/>
  <c r="U43" i="6"/>
  <c r="P43" i="6"/>
  <c r="Q43" i="6" s="1"/>
  <c r="W43" i="6" s="1"/>
  <c r="X43" i="6" s="1"/>
  <c r="U42" i="6"/>
  <c r="P42" i="6"/>
  <c r="Q42" i="6" s="1"/>
  <c r="W42" i="6" s="1"/>
  <c r="X42" i="6" s="1"/>
  <c r="M42" i="6"/>
  <c r="U41" i="6"/>
  <c r="M41" i="6"/>
  <c r="P41" i="6" s="1"/>
  <c r="Q41" i="6" s="1"/>
  <c r="W41" i="6" s="1"/>
  <c r="X41" i="6" s="1"/>
  <c r="U40" i="6"/>
  <c r="P40" i="6"/>
  <c r="Q40" i="6" s="1"/>
  <c r="W40" i="6" s="1"/>
  <c r="X40" i="6" s="1"/>
  <c r="M40" i="6"/>
  <c r="L40" i="6"/>
  <c r="U39" i="6"/>
  <c r="M39" i="6"/>
  <c r="P39" i="6" s="1"/>
  <c r="Q39" i="6" s="1"/>
  <c r="W39" i="6" s="1"/>
  <c r="X39" i="6" s="1"/>
  <c r="L39" i="6"/>
  <c r="U38" i="6"/>
  <c r="M38" i="6"/>
  <c r="P38" i="6" s="1"/>
  <c r="Q38" i="6" s="1"/>
  <c r="W38" i="6" s="1"/>
  <c r="X38" i="6" s="1"/>
  <c r="L38" i="6"/>
  <c r="U37" i="6"/>
  <c r="M37" i="6"/>
  <c r="P37" i="6" s="1"/>
  <c r="Q37" i="6" s="1"/>
  <c r="W37" i="6" s="1"/>
  <c r="X37" i="6" s="1"/>
  <c r="L37" i="6"/>
  <c r="U36" i="6"/>
  <c r="P36" i="6"/>
  <c r="Q36" i="6" s="1"/>
  <c r="W36" i="6" s="1"/>
  <c r="X36" i="6" s="1"/>
  <c r="M36" i="6"/>
  <c r="L36" i="6"/>
  <c r="U35" i="6"/>
  <c r="M35" i="6"/>
  <c r="P35" i="6" s="1"/>
  <c r="Q35" i="6" s="1"/>
  <c r="W35" i="6" s="1"/>
  <c r="X35" i="6" s="1"/>
  <c r="U34" i="6"/>
  <c r="P34" i="6"/>
  <c r="Q34" i="6" s="1"/>
  <c r="W34" i="6" s="1"/>
  <c r="X34" i="6" s="1"/>
  <c r="M34" i="6"/>
  <c r="U33" i="6"/>
  <c r="M33" i="6"/>
  <c r="P33" i="6" s="1"/>
  <c r="Q33" i="6" s="1"/>
  <c r="W33" i="6" s="1"/>
  <c r="X33" i="6" s="1"/>
  <c r="U32" i="6"/>
  <c r="P32" i="6"/>
  <c r="Q32" i="6" s="1"/>
  <c r="W32" i="6" s="1"/>
  <c r="X32" i="6" s="1"/>
  <c r="M32" i="6"/>
  <c r="L32" i="6"/>
  <c r="U31" i="6"/>
  <c r="M31" i="6"/>
  <c r="P31" i="6" s="1"/>
  <c r="Q31" i="6" s="1"/>
  <c r="W31" i="6" s="1"/>
  <c r="X31" i="6" s="1"/>
  <c r="L31" i="6"/>
  <c r="U30" i="6"/>
  <c r="M30" i="6"/>
  <c r="P30" i="6" s="1"/>
  <c r="Q30" i="6" s="1"/>
  <c r="W30" i="6" s="1"/>
  <c r="X30" i="6" s="1"/>
  <c r="L30" i="6"/>
  <c r="U29" i="6"/>
  <c r="M29" i="6"/>
  <c r="P29" i="6" s="1"/>
  <c r="Q29" i="6" s="1"/>
  <c r="W29" i="6" s="1"/>
  <c r="X29" i="6" s="1"/>
  <c r="L29" i="6"/>
  <c r="U28" i="6"/>
  <c r="P28" i="6"/>
  <c r="Q28" i="6" s="1"/>
  <c r="W28" i="6" s="1"/>
  <c r="X28" i="6" s="1"/>
  <c r="M28" i="6"/>
  <c r="L28" i="6"/>
  <c r="U27" i="6"/>
  <c r="Q27" i="6"/>
  <c r="W27" i="6" s="1"/>
  <c r="X27" i="6" s="1"/>
  <c r="U26" i="6"/>
  <c r="P26" i="6"/>
  <c r="Q26" i="6" s="1"/>
  <c r="W26" i="6" s="1"/>
  <c r="X26" i="6" s="1"/>
  <c r="M26" i="6"/>
  <c r="L26" i="6"/>
  <c r="U25" i="6"/>
  <c r="M25" i="6"/>
  <c r="P25" i="6" s="1"/>
  <c r="Q25" i="6" s="1"/>
  <c r="W25" i="6" s="1"/>
  <c r="X25" i="6" s="1"/>
  <c r="L25" i="6"/>
  <c r="U24" i="6"/>
  <c r="M24" i="6"/>
  <c r="P24" i="6" s="1"/>
  <c r="Q24" i="6" s="1"/>
  <c r="W24" i="6" s="1"/>
  <c r="X24" i="6" s="1"/>
  <c r="L24" i="6"/>
  <c r="U23" i="6"/>
  <c r="M23" i="6"/>
  <c r="P23" i="6" s="1"/>
  <c r="Q23" i="6" s="1"/>
  <c r="W23" i="6" s="1"/>
  <c r="X23" i="6" s="1"/>
  <c r="L23" i="6"/>
  <c r="U22" i="6"/>
  <c r="P22" i="6"/>
  <c r="Q22" i="6" s="1"/>
  <c r="W22" i="6" s="1"/>
  <c r="X22" i="6" s="1"/>
  <c r="M22" i="6"/>
  <c r="L22" i="6"/>
  <c r="U21" i="6"/>
  <c r="M21" i="6"/>
  <c r="P21" i="6" s="1"/>
  <c r="Q21" i="6" s="1"/>
  <c r="W21" i="6" s="1"/>
  <c r="X21" i="6" s="1"/>
  <c r="U20" i="6"/>
  <c r="P20" i="6"/>
  <c r="Q20" i="6" s="1"/>
  <c r="W20" i="6" s="1"/>
  <c r="X20" i="6" s="1"/>
  <c r="M20" i="6"/>
  <c r="L20" i="6"/>
  <c r="U19" i="6"/>
  <c r="Q19" i="6"/>
  <c r="W19" i="6" s="1"/>
  <c r="X19" i="6" s="1"/>
  <c r="P19" i="6"/>
  <c r="L19" i="6"/>
  <c r="U18" i="6"/>
  <c r="P18" i="6"/>
  <c r="Q18" i="6" s="1"/>
  <c r="W18" i="6" s="1"/>
  <c r="X18" i="6" s="1"/>
  <c r="L18" i="6"/>
  <c r="W17" i="6"/>
  <c r="X17" i="6" s="1"/>
  <c r="U17" i="6"/>
  <c r="Q17" i="6"/>
  <c r="P17" i="6"/>
  <c r="L17" i="6"/>
  <c r="U16" i="6"/>
  <c r="Q16" i="6"/>
  <c r="W16" i="6" s="1"/>
  <c r="X16" i="6" s="1"/>
  <c r="P16" i="6"/>
  <c r="L16" i="6"/>
  <c r="U15" i="6"/>
  <c r="M15" i="6"/>
  <c r="P15" i="6" s="1"/>
  <c r="Q15" i="6" s="1"/>
  <c r="W15" i="6" s="1"/>
  <c r="X15" i="6" s="1"/>
  <c r="L15" i="6"/>
  <c r="U14" i="6"/>
  <c r="P14" i="6"/>
  <c r="Q14" i="6" s="1"/>
  <c r="W14" i="6" s="1"/>
  <c r="X14" i="6" s="1"/>
  <c r="M14" i="6"/>
  <c r="L14" i="6"/>
  <c r="U13" i="6"/>
  <c r="M13" i="6"/>
  <c r="P13" i="6" s="1"/>
  <c r="Q13" i="6" s="1"/>
  <c r="W13" i="6" s="1"/>
  <c r="X13" i="6" s="1"/>
  <c r="L13" i="6"/>
  <c r="M12" i="6"/>
  <c r="P12" i="6" s="1"/>
  <c r="Q12" i="6" s="1"/>
  <c r="W12" i="6" s="1"/>
  <c r="X12" i="6" s="1"/>
  <c r="L12" i="6"/>
  <c r="M11" i="6"/>
  <c r="P11" i="6" s="1"/>
  <c r="Q11" i="6" s="1"/>
  <c r="W11" i="6" s="1"/>
  <c r="X11" i="6" s="1"/>
  <c r="L11" i="6"/>
  <c r="U10" i="6"/>
  <c r="P10" i="6"/>
  <c r="Q10" i="6" s="1"/>
  <c r="M10" i="6"/>
  <c r="L10" i="6"/>
  <c r="W56" i="7" l="1"/>
  <c r="X56" i="7" s="1"/>
  <c r="W63" i="7"/>
  <c r="X63" i="7" s="1"/>
  <c r="W21" i="7"/>
  <c r="X21" i="7" s="1"/>
  <c r="W25" i="7"/>
  <c r="X25" i="7" s="1"/>
  <c r="W28" i="7"/>
  <c r="X28" i="7" s="1"/>
  <c r="W35" i="7"/>
  <c r="X35" i="7" s="1"/>
  <c r="W42" i="7"/>
  <c r="X42" i="7" s="1"/>
  <c r="W46" i="7"/>
  <c r="X46" i="7" s="1"/>
  <c r="W36" i="7"/>
  <c r="X36" i="7" s="1"/>
  <c r="W27" i="7"/>
  <c r="X27" i="7" s="1"/>
  <c r="W52" i="7"/>
  <c r="X52" i="7" s="1"/>
  <c r="W43" i="7"/>
  <c r="X43" i="7" s="1"/>
  <c r="W48" i="7"/>
  <c r="X48" i="7" s="1"/>
  <c r="W54" i="7"/>
  <c r="X54" i="7" s="1"/>
  <c r="W30" i="7"/>
  <c r="X30" i="7" s="1"/>
  <c r="W16" i="7"/>
  <c r="X16" i="7" s="1"/>
  <c r="W33" i="7"/>
  <c r="X33" i="7" s="1"/>
  <c r="W15" i="7"/>
  <c r="X15" i="7" s="1"/>
  <c r="W14" i="7"/>
  <c r="X14" i="7" s="1"/>
  <c r="W22" i="7"/>
  <c r="X22" i="7" s="1"/>
  <c r="W26" i="7"/>
  <c r="X26" i="7" s="1"/>
  <c r="W29" i="7"/>
  <c r="X29" i="7" s="1"/>
  <c r="W32" i="7"/>
  <c r="X32" i="7" s="1"/>
  <c r="W39" i="7"/>
  <c r="X39" i="7" s="1"/>
  <c r="W23" i="7"/>
  <c r="X23" i="7" s="1"/>
  <c r="W40" i="7"/>
  <c r="X40" i="7" s="1"/>
  <c r="W37" i="7"/>
  <c r="X37" i="7" s="1"/>
  <c r="W17" i="7"/>
  <c r="X17" i="7" s="1"/>
  <c r="W44" i="7"/>
  <c r="X44" i="7" s="1"/>
  <c r="W18" i="7"/>
  <c r="X18" i="7" s="1"/>
  <c r="W12" i="7"/>
  <c r="X12" i="7" s="1"/>
  <c r="W20" i="7"/>
  <c r="X20" i="7" s="1"/>
  <c r="W34" i="7"/>
  <c r="X34" i="7" s="1"/>
  <c r="W41" i="7"/>
  <c r="X41" i="7" s="1"/>
  <c r="W38" i="7"/>
  <c r="X38" i="7" s="1"/>
  <c r="W50" i="7"/>
  <c r="X50" i="7" s="1"/>
  <c r="W61" i="7"/>
  <c r="X61" i="7" s="1"/>
  <c r="L38" i="7"/>
  <c r="L41" i="7"/>
  <c r="L44" i="7"/>
  <c r="L23" i="7"/>
  <c r="L26" i="7"/>
  <c r="L10" i="7"/>
  <c r="L17" i="7"/>
  <c r="L43" i="7"/>
  <c r="L51" i="7"/>
  <c r="L33" i="7"/>
  <c r="L15" i="7"/>
  <c r="L18" i="7"/>
  <c r="L46" i="7"/>
  <c r="L50" i="7"/>
  <c r="L9" i="7"/>
  <c r="L12" i="7"/>
  <c r="L25" i="7"/>
  <c r="L13" i="7"/>
  <c r="L42" i="7"/>
  <c r="L52" i="7"/>
  <c r="L14" i="7"/>
  <c r="L22" i="7"/>
  <c r="L35" i="7"/>
  <c r="L54" i="7"/>
  <c r="L47" i="7"/>
  <c r="L21" i="7"/>
  <c r="L34" i="7"/>
  <c r="L48" i="7"/>
  <c r="L8" i="7"/>
  <c r="L16" i="7"/>
  <c r="L24" i="7"/>
  <c r="L29" i="7"/>
  <c r="L37" i="7"/>
  <c r="L56" i="7"/>
  <c r="L61" i="7"/>
  <c r="L11" i="7"/>
  <c r="L19" i="7"/>
  <c r="L27" i="7"/>
  <c r="L32" i="7"/>
  <c r="L40" i="7"/>
  <c r="L45" i="7"/>
  <c r="W55" i="7"/>
  <c r="X55" i="7" s="1"/>
  <c r="W62" i="7"/>
  <c r="X62" i="7" s="1"/>
  <c r="P8" i="7"/>
  <c r="Q8" i="7" s="1"/>
  <c r="W8" i="7" s="1"/>
  <c r="X8" i="7" s="1"/>
  <c r="P11" i="7"/>
  <c r="Q11" i="7" s="1"/>
  <c r="W11" i="7" s="1"/>
  <c r="X11" i="7" s="1"/>
  <c r="P9" i="7"/>
  <c r="Q9" i="7" s="1"/>
  <c r="W9" i="7" s="1"/>
  <c r="X9" i="7" s="1"/>
  <c r="W24" i="7"/>
  <c r="X24" i="7" s="1"/>
  <c r="W31" i="7"/>
  <c r="X31" i="7" s="1"/>
  <c r="W49" i="7"/>
  <c r="X49" i="7" s="1"/>
  <c r="L62" i="7"/>
  <c r="W45" i="7"/>
  <c r="X45" i="7" s="1"/>
  <c r="Q48" i="8"/>
  <c r="X48" i="8"/>
  <c r="L47" i="8"/>
  <c r="L46" i="8"/>
  <c r="L48" i="8" s="1"/>
  <c r="P10" i="7"/>
  <c r="Q10" i="7" s="1"/>
  <c r="W10" i="7" s="1"/>
  <c r="X10" i="7" s="1"/>
  <c r="L49" i="7"/>
  <c r="L57" i="7"/>
  <c r="L63" i="7"/>
  <c r="Q63" i="6"/>
  <c r="W10" i="6"/>
  <c r="X10" i="6" s="1"/>
  <c r="X63" i="6" s="1"/>
  <c r="L51" i="6"/>
  <c r="L59" i="6"/>
  <c r="L56" i="6"/>
  <c r="L21" i="6"/>
  <c r="L63" i="6" s="1"/>
  <c r="L35" i="6"/>
  <c r="L43" i="6"/>
  <c r="L47" i="6"/>
  <c r="L55" i="6"/>
  <c r="L62" i="6"/>
  <c r="L34" i="6"/>
  <c r="L42" i="6"/>
  <c r="L54" i="6"/>
  <c r="L61" i="6"/>
  <c r="L27" i="6"/>
  <c r="L33" i="6"/>
  <c r="L41" i="6"/>
  <c r="L46" i="6"/>
  <c r="L53" i="6"/>
  <c r="AC73" i="6" l="1"/>
  <c r="AC70" i="6"/>
  <c r="Y14" i="6"/>
  <c r="Y22" i="6"/>
  <c r="Y30" i="6"/>
  <c r="Y38" i="6"/>
  <c r="Y46" i="6"/>
  <c r="Y62" i="6"/>
  <c r="Y15" i="6"/>
  <c r="Y23" i="6"/>
  <c r="Y31" i="6"/>
  <c r="Y39" i="6"/>
  <c r="Y47" i="6"/>
  <c r="Y55" i="6"/>
  <c r="Y10" i="6"/>
  <c r="Y16" i="6"/>
  <c r="Y24" i="6"/>
  <c r="Y32" i="6"/>
  <c r="Y40" i="6"/>
  <c r="Y48" i="6"/>
  <c r="Y17" i="6"/>
  <c r="Y25" i="6"/>
  <c r="Y33" i="6"/>
  <c r="Y41" i="6"/>
  <c r="Y49" i="6"/>
  <c r="Y57" i="6"/>
  <c r="Y26" i="6"/>
  <c r="Y34" i="6"/>
  <c r="Y42" i="6"/>
  <c r="Y50" i="6"/>
  <c r="Y58" i="6"/>
  <c r="Y19" i="6"/>
  <c r="Y27" i="6"/>
  <c r="Y35" i="6"/>
  <c r="Y43" i="6"/>
  <c r="Y51" i="6"/>
  <c r="Y59" i="6"/>
  <c r="Y12" i="6"/>
  <c r="Y20" i="6"/>
  <c r="Y28" i="6"/>
  <c r="Y36" i="6"/>
  <c r="Y44" i="6"/>
  <c r="Y52" i="6"/>
  <c r="Y60" i="6"/>
  <c r="Y13" i="6"/>
  <c r="Y21" i="6"/>
  <c r="Y29" i="6"/>
  <c r="Y37" i="6"/>
  <c r="Y45" i="6"/>
  <c r="Y53" i="6"/>
  <c r="Y61" i="6"/>
  <c r="AC71" i="6"/>
  <c r="AC72" i="6"/>
  <c r="Y18" i="6"/>
  <c r="Y11" i="6"/>
  <c r="L64" i="7"/>
  <c r="X64" i="7"/>
  <c r="AC69" i="7" s="1"/>
  <c r="Q64" i="7"/>
  <c r="Y8" i="7" l="1"/>
  <c r="Y57" i="7"/>
  <c r="AC74" i="7"/>
  <c r="AC73" i="7"/>
  <c r="Y12" i="7"/>
  <c r="Y20" i="7"/>
  <c r="Y28" i="7"/>
  <c r="Y36" i="7"/>
  <c r="Y44" i="7"/>
  <c r="Y52" i="7"/>
  <c r="Y40" i="7"/>
  <c r="Y56" i="7"/>
  <c r="Y41" i="7"/>
  <c r="Y10" i="7"/>
  <c r="Y58" i="7"/>
  <c r="Y27" i="7"/>
  <c r="AC70" i="7"/>
  <c r="Y13" i="7"/>
  <c r="Y21" i="7"/>
  <c r="Y29" i="7"/>
  <c r="Y37" i="7"/>
  <c r="Y45" i="7"/>
  <c r="Y53" i="7"/>
  <c r="Y61" i="7"/>
  <c r="Y32" i="7"/>
  <c r="Y26" i="7"/>
  <c r="Y43" i="7"/>
  <c r="AC71" i="7"/>
  <c r="Y14" i="7"/>
  <c r="Y22" i="7"/>
  <c r="Y30" i="7"/>
  <c r="Y38" i="7"/>
  <c r="Y46" i="7"/>
  <c r="Y54" i="7"/>
  <c r="Y62" i="7"/>
  <c r="Y16" i="7"/>
  <c r="Y49" i="7"/>
  <c r="Y34" i="7"/>
  <c r="Y35" i="7"/>
  <c r="AC72" i="7"/>
  <c r="Y15" i="7"/>
  <c r="Y23" i="7"/>
  <c r="Y31" i="7"/>
  <c r="Y39" i="7"/>
  <c r="Y47" i="7"/>
  <c r="Y55" i="7"/>
  <c r="Y63" i="7"/>
  <c r="Y24" i="7"/>
  <c r="Y48" i="7"/>
  <c r="Y25" i="7"/>
  <c r="Y42" i="7"/>
  <c r="Y19" i="7"/>
  <c r="Y18" i="7"/>
  <c r="Y51" i="7"/>
  <c r="Y9" i="7"/>
  <c r="Y17" i="7"/>
  <c r="Y33" i="7"/>
  <c r="Y50" i="7"/>
  <c r="Y11" i="7"/>
  <c r="Y59" i="7"/>
  <c r="E133" i="4"/>
  <c r="F131" i="4" s="1"/>
  <c r="F25" i="4" l="1"/>
  <c r="F57" i="4"/>
  <c r="F97" i="4"/>
  <c r="F42" i="4"/>
  <c r="F82" i="4"/>
  <c r="F27" i="4"/>
  <c r="F117" i="4"/>
  <c r="F9" i="4"/>
  <c r="F49" i="4"/>
  <c r="F73" i="4"/>
  <c r="F105" i="4"/>
  <c r="F18" i="4"/>
  <c r="F74" i="4"/>
  <c r="F92" i="4"/>
  <c r="F17" i="4"/>
  <c r="F89" i="4"/>
  <c r="F34" i="4"/>
  <c r="F58" i="4"/>
  <c r="F90" i="4"/>
  <c r="F116" i="4"/>
  <c r="F59" i="4"/>
  <c r="F109" i="4"/>
  <c r="F51" i="4"/>
  <c r="F100" i="4"/>
  <c r="F33" i="4"/>
  <c r="F65" i="4"/>
  <c r="F125" i="4"/>
  <c r="F26" i="4"/>
  <c r="F66" i="4"/>
  <c r="F106" i="4"/>
  <c r="F11" i="4"/>
  <c r="F35" i="4"/>
  <c r="F67" i="4"/>
  <c r="F83" i="4"/>
  <c r="F99" i="4"/>
  <c r="F12" i="4"/>
  <c r="F28" i="4"/>
  <c r="F44" i="4"/>
  <c r="F60" i="4"/>
  <c r="F76" i="4"/>
  <c r="F119" i="4"/>
  <c r="F13" i="4"/>
  <c r="F29" i="4"/>
  <c r="F45" i="4"/>
  <c r="F61" i="4"/>
  <c r="F77" i="4"/>
  <c r="F93" i="4"/>
  <c r="F110" i="4"/>
  <c r="F14" i="4"/>
  <c r="F38" i="4"/>
  <c r="F54" i="4"/>
  <c r="F70" i="4"/>
  <c r="F86" i="4"/>
  <c r="F102" i="4"/>
  <c r="F121" i="4"/>
  <c r="F15" i="4"/>
  <c r="F23" i="4"/>
  <c r="F31" i="4"/>
  <c r="F39" i="4"/>
  <c r="F47" i="4"/>
  <c r="F55" i="4"/>
  <c r="F63" i="4"/>
  <c r="F71" i="4"/>
  <c r="F79" i="4"/>
  <c r="F87" i="4"/>
  <c r="F95" i="4"/>
  <c r="F103" i="4"/>
  <c r="F112" i="4"/>
  <c r="F122" i="4"/>
  <c r="F41" i="4"/>
  <c r="F81" i="4"/>
  <c r="F114" i="4"/>
  <c r="F10" i="4"/>
  <c r="F50" i="4"/>
  <c r="F98" i="4"/>
  <c r="F19" i="4"/>
  <c r="F43" i="4"/>
  <c r="F75" i="4"/>
  <c r="F91" i="4"/>
  <c r="F108" i="4"/>
  <c r="F20" i="4"/>
  <c r="F36" i="4"/>
  <c r="F52" i="4"/>
  <c r="F68" i="4"/>
  <c r="F84" i="4"/>
  <c r="F21" i="4"/>
  <c r="F37" i="4"/>
  <c r="F53" i="4"/>
  <c r="F69" i="4"/>
  <c r="F85" i="4"/>
  <c r="F101" i="4"/>
  <c r="F120" i="4"/>
  <c r="F22" i="4"/>
  <c r="F30" i="4"/>
  <c r="F46" i="4"/>
  <c r="F62" i="4"/>
  <c r="F78" i="4"/>
  <c r="F94" i="4"/>
  <c r="F111" i="4"/>
  <c r="F16" i="4"/>
  <c r="F24" i="4"/>
  <c r="F32" i="4"/>
  <c r="F40" i="4"/>
  <c r="F48" i="4"/>
  <c r="F56" i="4"/>
  <c r="F64" i="4"/>
  <c r="F72" i="4"/>
  <c r="F80" i="4"/>
  <c r="F88" i="4"/>
  <c r="F96" i="4"/>
  <c r="F104" i="4"/>
  <c r="F113" i="4"/>
  <c r="F123" i="4"/>
  <c r="Y64" i="7"/>
  <c r="F107" i="4"/>
  <c r="F115" i="4"/>
  <c r="F124" i="4"/>
  <c r="F127" i="4"/>
  <c r="F118" i="4"/>
  <c r="F126" i="4"/>
  <c r="F128" i="4"/>
  <c r="F129" i="4"/>
  <c r="F130" i="4"/>
  <c r="F133" i="4" l="1"/>
  <c r="E250" i="1" l="1"/>
</calcChain>
</file>

<file path=xl/sharedStrings.xml><?xml version="1.0" encoding="utf-8"?>
<sst xmlns="http://schemas.openxmlformats.org/spreadsheetml/2006/main" count="3459" uniqueCount="1011">
  <si>
    <t>Bottom-up MS</t>
  </si>
  <si>
    <t>Top-Down MS</t>
  </si>
  <si>
    <t>Top-Down MS/ Mass profiling</t>
  </si>
  <si>
    <t>Monoisotopic mass</t>
  </si>
  <si>
    <t>RP-HPLC peak</t>
  </si>
  <si>
    <t>%</t>
  </si>
  <si>
    <t>MW (kDa)</t>
  </si>
  <si>
    <t>ESI-MS (mono)</t>
  </si>
  <si>
    <t>ESI-MS (ave)</t>
  </si>
  <si>
    <t>m/z</t>
  </si>
  <si>
    <t>z</t>
  </si>
  <si>
    <t>Peptide sequence</t>
  </si>
  <si>
    <t>Score</t>
  </si>
  <si>
    <t>Best NCBI match</t>
  </si>
  <si>
    <t>Protein family</t>
  </si>
  <si>
    <t>Native</t>
  </si>
  <si>
    <t>Reduced</t>
  </si>
  <si>
    <t>E-value</t>
  </si>
  <si>
    <t>Family</t>
  </si>
  <si>
    <t>Amino acid sequence</t>
  </si>
  <si>
    <r>
      <t xml:space="preserve">20 </t>
    </r>
    <r>
      <rPr>
        <vertAlign val="superscript"/>
        <sz val="12"/>
        <rFont val="Calibri"/>
        <family val="2"/>
        <scheme val="minor"/>
      </rPr>
      <t>▼</t>
    </r>
  </si>
  <si>
    <t>QWSDHRGSITER</t>
  </si>
  <si>
    <r>
      <t xml:space="preserve"> </t>
    </r>
    <r>
      <rPr>
        <b/>
        <i/>
        <sz val="12"/>
        <rFont val="Calibri"/>
        <family val="2"/>
        <scheme val="minor"/>
      </rPr>
      <t>W. aegyptia</t>
    </r>
    <r>
      <rPr>
        <b/>
        <sz val="12"/>
        <rFont val="Calibri"/>
        <family val="2"/>
        <scheme val="minor"/>
      </rPr>
      <t xml:space="preserve"> C1IC47</t>
    </r>
  </si>
  <si>
    <t xml:space="preserve"> 3FTx W-III</t>
  </si>
  <si>
    <r>
      <t xml:space="preserve">14 </t>
    </r>
    <r>
      <rPr>
        <vertAlign val="superscript"/>
        <sz val="12"/>
        <rFont val="Calibri"/>
        <family val="2"/>
        <scheme val="minor"/>
      </rPr>
      <t>▼</t>
    </r>
  </si>
  <si>
    <t>3FTx</t>
  </si>
  <si>
    <t xml:space="preserve"> C1IC47</t>
  </si>
  <si>
    <t>FVCHNQQSSQPPTTTNCSGGENKCYKKQWSDHRGSITERGCGCPTVKKGIKLHCCTTEKCNN</t>
  </si>
  <si>
    <r>
      <t xml:space="preserve">18 </t>
    </r>
    <r>
      <rPr>
        <vertAlign val="superscript"/>
        <sz val="12"/>
        <rFont val="Calibri"/>
        <family val="2"/>
        <scheme val="minor"/>
      </rPr>
      <t>▼</t>
    </r>
  </si>
  <si>
    <t>6662.1</t>
  </si>
  <si>
    <t>6668.3</t>
  </si>
  <si>
    <t>GIELHCCTTDQCNL</t>
  </si>
  <si>
    <r>
      <rPr>
        <b/>
        <i/>
        <sz val="12"/>
        <rFont val="Calibri"/>
        <family val="2"/>
        <scheme val="minor"/>
      </rPr>
      <t xml:space="preserve"> W. aegyptia</t>
    </r>
    <r>
      <rPr>
        <b/>
        <sz val="12"/>
        <rFont val="Calibri"/>
        <family val="2"/>
        <scheme val="minor"/>
      </rPr>
      <t xml:space="preserve"> C1IC48</t>
    </r>
  </si>
  <si>
    <t>3FTx W-IV</t>
  </si>
  <si>
    <t>LCHNQQSSTSPTTTCCSGGESKCYKKRWPTHRGTITERGCGCPTVKKGIELHCCTTDQCNL</t>
  </si>
  <si>
    <r>
      <t>6</t>
    </r>
    <r>
      <rPr>
        <vertAlign val="superscript"/>
        <sz val="12"/>
        <rFont val="Calibri"/>
        <family val="2"/>
        <scheme val="minor"/>
      </rPr>
      <t>▼</t>
    </r>
  </si>
  <si>
    <t>6661.9</t>
  </si>
  <si>
    <t>6666.1</t>
  </si>
  <si>
    <t>CEEFMYGGCK</t>
  </si>
  <si>
    <r>
      <rPr>
        <b/>
        <i/>
        <sz val="12"/>
        <rFont val="Calibri"/>
        <family val="2"/>
        <scheme val="minor"/>
      </rPr>
      <t>W. aegyptia</t>
    </r>
    <r>
      <rPr>
        <b/>
        <sz val="12"/>
        <rFont val="Calibri"/>
        <family val="2"/>
        <scheme val="minor"/>
      </rPr>
      <t xml:space="preserve"> C1IC53</t>
    </r>
  </si>
  <si>
    <t>Kunitz inhibitor IV</t>
  </si>
  <si>
    <t>KUN</t>
  </si>
  <si>
    <t>C1IC53</t>
  </si>
  <si>
    <t>GGPKYCHLPADPGPCSNYRPAYYYNPASRKCEEFMYGGCKGNKNNFKTRHECHRVCVR</t>
  </si>
  <si>
    <t>6343.0</t>
  </si>
  <si>
    <t>6348.2</t>
  </si>
  <si>
    <t>CLEFTYGGCK</t>
  </si>
  <si>
    <r>
      <rPr>
        <b/>
        <i/>
        <sz val="12"/>
        <rFont val="Calibri"/>
        <family val="2"/>
        <scheme val="minor"/>
      </rPr>
      <t>W. aegyptia</t>
    </r>
    <r>
      <rPr>
        <b/>
        <sz val="12"/>
        <rFont val="Calibri"/>
        <family val="2"/>
        <scheme val="minor"/>
      </rPr>
      <t xml:space="preserve"> C1IC50</t>
    </r>
  </si>
  <si>
    <t>Kunitz inhibitor I</t>
  </si>
  <si>
    <t>RPGLCELPAETGPCKARIRAFYYNPHSHKCLEFTYGGCKGNANNFKTIDECNRTCVG</t>
  </si>
  <si>
    <t>KGIELHCCTTDQCNL</t>
  </si>
  <si>
    <t>6348.0</t>
  </si>
  <si>
    <t>TIDECNRTCVG</t>
  </si>
  <si>
    <r>
      <t xml:space="preserve"> </t>
    </r>
    <r>
      <rPr>
        <i/>
        <sz val="12"/>
        <rFont val="Calibri"/>
        <family val="2"/>
        <scheme val="minor"/>
      </rPr>
      <t>W. aegyptia</t>
    </r>
    <r>
      <rPr>
        <sz val="12"/>
        <rFont val="Calibri"/>
        <family val="2"/>
        <scheme val="minor"/>
      </rPr>
      <t xml:space="preserve"> C1IC50</t>
    </r>
  </si>
  <si>
    <t>6775.3</t>
  </si>
  <si>
    <t>6781.0</t>
  </si>
  <si>
    <t>KCEEFMYGGCK</t>
  </si>
  <si>
    <r>
      <rPr>
        <i/>
        <sz val="12"/>
        <rFont val="Calibri"/>
        <family val="2"/>
        <scheme val="minor"/>
      </rPr>
      <t>W. aegyptia</t>
    </r>
    <r>
      <rPr>
        <sz val="12"/>
        <rFont val="Calibri"/>
        <family val="2"/>
        <scheme val="minor"/>
      </rPr>
      <t xml:space="preserve"> C1IC53</t>
    </r>
  </si>
  <si>
    <t>LGGPKYCHLPADPGPCSNYRPAYYYNPASRKCEEFMYGGCKGNKNNFKTRHECHRVCVR</t>
  </si>
  <si>
    <r>
      <rPr>
        <i/>
        <sz val="12"/>
        <rFont val="Calibri"/>
        <family val="2"/>
        <scheme val="minor"/>
      </rPr>
      <t xml:space="preserve"> W. aegyptia</t>
    </r>
    <r>
      <rPr>
        <sz val="12"/>
        <rFont val="Calibri"/>
        <family val="2"/>
        <scheme val="minor"/>
      </rPr>
      <t xml:space="preserve"> C1IC48</t>
    </r>
  </si>
  <si>
    <r>
      <rPr>
        <i/>
        <sz val="12"/>
        <rFont val="Calibri"/>
        <family val="2"/>
        <scheme val="minor"/>
      </rPr>
      <t>W. aegyptia</t>
    </r>
    <r>
      <rPr>
        <sz val="12"/>
        <rFont val="Calibri"/>
        <family val="2"/>
        <scheme val="minor"/>
      </rPr>
      <t xml:space="preserve"> C1IC50</t>
    </r>
  </si>
  <si>
    <t>6636.1/6897.5</t>
  </si>
  <si>
    <t>6641.0/6902.0</t>
  </si>
  <si>
    <t>TFYEGNLLGK</t>
  </si>
  <si>
    <r>
      <rPr>
        <i/>
        <sz val="12"/>
        <rFont val="Calibri"/>
        <family val="2"/>
        <scheme val="minor"/>
      </rPr>
      <t>W. aegyptia</t>
    </r>
    <r>
      <rPr>
        <sz val="12"/>
        <rFont val="Calibri"/>
        <family val="2"/>
        <scheme val="minor"/>
      </rPr>
      <t xml:space="preserve"> C1IC49</t>
    </r>
  </si>
  <si>
    <t>FMYGGCGGNANNFK</t>
  </si>
  <si>
    <r>
      <rPr>
        <i/>
        <sz val="12"/>
        <rFont val="Calibri"/>
        <family val="2"/>
        <scheme val="minor"/>
      </rPr>
      <t>W. aegyptia</t>
    </r>
    <r>
      <rPr>
        <sz val="12"/>
        <rFont val="Calibri"/>
        <family val="2"/>
        <scheme val="minor"/>
      </rPr>
      <t xml:space="preserve"> C1IC51/C1IC52</t>
    </r>
  </si>
  <si>
    <t>Kunitz inhibitor III/II</t>
  </si>
  <si>
    <t>C1IC51/C1IC52</t>
  </si>
  <si>
    <t>PWFCELPAE(TGLCKAHIPSFHYNLAAQQCLGFIYG)[-343.17021]GCGGNANRFKTIDECHRTCVG</t>
  </si>
  <si>
    <r>
      <t>18</t>
    </r>
    <r>
      <rPr>
        <vertAlign val="superscript"/>
        <sz val="12"/>
        <rFont val="Calibri"/>
        <family val="2"/>
        <scheme val="minor"/>
      </rPr>
      <t>▼</t>
    </r>
  </si>
  <si>
    <t>7394.4</t>
  </si>
  <si>
    <t>7404.5</t>
  </si>
  <si>
    <r>
      <rPr>
        <b/>
        <i/>
        <sz val="12"/>
        <rFont val="Calibri"/>
        <family val="2"/>
        <scheme val="minor"/>
      </rPr>
      <t>W. aegyptia</t>
    </r>
    <r>
      <rPr>
        <b/>
        <sz val="12"/>
        <rFont val="Calibri"/>
        <family val="2"/>
        <scheme val="minor"/>
      </rPr>
      <t xml:space="preserve"> C1IC49</t>
    </r>
  </si>
  <si>
    <t>3FTx W-V</t>
  </si>
  <si>
    <t>C1IC49</t>
  </si>
  <si>
    <t>LTCLNCPEVYCRKFHTCRNGENICFKRFDQRKLLGKRYTRGCAATCPEAKPRETVECCSTDKCN</t>
  </si>
  <si>
    <r>
      <t xml:space="preserve">6 </t>
    </r>
    <r>
      <rPr>
        <vertAlign val="superscript"/>
        <sz val="12"/>
        <rFont val="Calibri"/>
        <family val="2"/>
        <scheme val="minor"/>
      </rPr>
      <t>▼</t>
    </r>
  </si>
  <si>
    <t>6390.1</t>
  </si>
  <si>
    <r>
      <rPr>
        <b/>
        <i/>
        <sz val="12"/>
        <rFont val="Calibri"/>
        <family val="2"/>
        <scheme val="minor"/>
      </rPr>
      <t>W. aegyptia</t>
    </r>
    <r>
      <rPr>
        <b/>
        <sz val="12"/>
        <rFont val="Calibri"/>
        <family val="2"/>
        <scheme val="minor"/>
      </rPr>
      <t xml:space="preserve">  C1IC52</t>
    </r>
  </si>
  <si>
    <t>Kunitz inhibitor II</t>
  </si>
  <si>
    <t>C1IC52</t>
  </si>
  <si>
    <t>RPRLCELPAESGLCNAYIPSFYYNPHSHKCQKFMYGGCGGNANNFKTIDECHRTCVG</t>
  </si>
  <si>
    <t>LCELPAESGLCNAYIPSFYYNPHSHK</t>
  </si>
  <si>
    <r>
      <rPr>
        <i/>
        <sz val="12"/>
        <rFont val="Calibri"/>
        <family val="2"/>
        <scheme val="minor"/>
      </rPr>
      <t>W. aegyptia</t>
    </r>
    <r>
      <rPr>
        <sz val="12"/>
        <rFont val="Calibri"/>
        <family val="2"/>
        <scheme val="minor"/>
      </rPr>
      <t xml:space="preserve">  C1IC52</t>
    </r>
  </si>
  <si>
    <r>
      <t xml:space="preserve">32 </t>
    </r>
    <r>
      <rPr>
        <vertAlign val="superscript"/>
        <sz val="12"/>
        <rFont val="Calibri"/>
        <family val="2"/>
        <scheme val="minor"/>
      </rPr>
      <t>▼</t>
    </r>
  </si>
  <si>
    <t>SAECPTDSFBR</t>
  </si>
  <si>
    <t>de novo</t>
  </si>
  <si>
    <r>
      <t>~D. vestigiata</t>
    </r>
    <r>
      <rPr>
        <sz val="12"/>
        <rFont val="Calibri"/>
        <family val="2"/>
        <scheme val="minor"/>
      </rPr>
      <t xml:space="preserve"> ABK63559</t>
    </r>
  </si>
  <si>
    <t>TCTEENTWR</t>
  </si>
  <si>
    <r>
      <t xml:space="preserve">W. aegyptia </t>
    </r>
    <r>
      <rPr>
        <sz val="12"/>
        <rFont val="Calibri"/>
        <family val="2"/>
        <scheme val="minor"/>
      </rPr>
      <t>C0HKZ8</t>
    </r>
  </si>
  <si>
    <t>6407.2</t>
  </si>
  <si>
    <t>6411.2</t>
  </si>
  <si>
    <r>
      <rPr>
        <i/>
        <sz val="12"/>
        <rFont val="Calibri"/>
        <family val="2"/>
        <scheme val="minor"/>
      </rPr>
      <t xml:space="preserve">W. aegyptia </t>
    </r>
    <r>
      <rPr>
        <sz val="12"/>
        <rFont val="Calibri"/>
        <family val="2"/>
        <scheme val="minor"/>
      </rPr>
      <t>C1IC51/52</t>
    </r>
  </si>
  <si>
    <t>Kunitz inhibitor II/III</t>
  </si>
  <si>
    <t>ITCSAEEKFCYKWR</t>
  </si>
  <si>
    <r>
      <rPr>
        <i/>
        <sz val="12"/>
        <rFont val="Calibri"/>
        <family val="2"/>
        <scheme val="minor"/>
      </rPr>
      <t>W. aegyptia</t>
    </r>
    <r>
      <rPr>
        <sz val="12"/>
        <rFont val="Calibri"/>
        <family val="2"/>
        <scheme val="minor"/>
      </rPr>
      <t xml:space="preserve"> C0HKZ8</t>
    </r>
  </si>
  <si>
    <t>7394.0</t>
  </si>
  <si>
    <t>7400.0</t>
  </si>
  <si>
    <t xml:space="preserve">LTCLICPK  </t>
  </si>
  <si>
    <r>
      <rPr>
        <b/>
        <i/>
        <sz val="12"/>
        <rFont val="Calibri"/>
        <family val="2"/>
        <scheme val="minor"/>
      </rPr>
      <t>~ W. aegyptia</t>
    </r>
    <r>
      <rPr>
        <b/>
        <sz val="12"/>
        <rFont val="Calibri"/>
        <family val="2"/>
        <scheme val="minor"/>
      </rPr>
      <t xml:space="preserve"> C1IC49</t>
    </r>
  </si>
  <si>
    <r>
      <t>10</t>
    </r>
    <r>
      <rPr>
        <vertAlign val="superscript"/>
        <sz val="12"/>
        <rFont val="Calibri"/>
        <family val="2"/>
        <scheme val="minor"/>
      </rPr>
      <t>▼</t>
    </r>
  </si>
  <si>
    <r>
      <rPr>
        <b/>
        <sz val="12"/>
        <rFont val="Calibri"/>
        <family val="2"/>
        <scheme val="minor"/>
      </rPr>
      <t>7378.4</t>
    </r>
    <r>
      <rPr>
        <sz val="12"/>
        <rFont val="Calibri"/>
        <family val="2"/>
        <scheme val="minor"/>
      </rPr>
      <t>/7363.8</t>
    </r>
  </si>
  <si>
    <r>
      <rPr>
        <b/>
        <sz val="12"/>
        <rFont val="Calibri"/>
        <family val="2"/>
        <scheme val="minor"/>
      </rPr>
      <t>7384.9</t>
    </r>
    <r>
      <rPr>
        <sz val="12"/>
        <rFont val="Calibri"/>
        <family val="2"/>
        <scheme val="minor"/>
      </rPr>
      <t>/7368.9</t>
    </r>
  </si>
  <si>
    <t>RTPVDCPDGBNXCFK</t>
  </si>
  <si>
    <t>(RLCLS)[14.0135]DYSIFSETIEICPDGHNFCFKKFPKGITRLPWVIRGCAAT(CPKAE)[-40.0788]ARVYVDCCARDKCNR</t>
  </si>
  <si>
    <t>(945.5)PVDCPDGBNXCFK</t>
  </si>
  <si>
    <r>
      <rPr>
        <i/>
        <sz val="12"/>
        <rFont val="Calibri"/>
        <family val="2"/>
        <scheme val="minor"/>
      </rPr>
      <t>~ D. angusticeps</t>
    </r>
    <r>
      <rPr>
        <sz val="12"/>
        <rFont val="Calibri"/>
        <family val="2"/>
        <scheme val="minor"/>
      </rPr>
      <t xml:space="preserve"> Q8QGR0</t>
    </r>
  </si>
  <si>
    <r>
      <t>22</t>
    </r>
    <r>
      <rPr>
        <vertAlign val="superscript"/>
        <sz val="12"/>
        <rFont val="Calibri"/>
        <family val="2"/>
        <scheme val="minor"/>
      </rPr>
      <t>▼</t>
    </r>
  </si>
  <si>
    <t>SAAICFAR</t>
  </si>
  <si>
    <r>
      <rPr>
        <i/>
        <sz val="12"/>
        <rFont val="Calibri"/>
        <family val="2"/>
        <scheme val="minor"/>
      </rPr>
      <t xml:space="preserve">W.aegyptia </t>
    </r>
    <r>
      <rPr>
        <sz val="12"/>
        <rFont val="Calibri"/>
        <family val="2"/>
        <scheme val="minor"/>
      </rPr>
      <t>C1IC46</t>
    </r>
  </si>
  <si>
    <t>PLA2</t>
  </si>
  <si>
    <t>FSGCSPYTR</t>
  </si>
  <si>
    <t>SDNDECAAFVCNCDR</t>
  </si>
  <si>
    <t>GGSGTPVDKLDR</t>
  </si>
  <si>
    <r>
      <rPr>
        <i/>
        <sz val="12"/>
        <rFont val="Calibri"/>
        <family val="2"/>
        <scheme val="minor"/>
      </rPr>
      <t xml:space="preserve"> M. altirostris</t>
    </r>
    <r>
      <rPr>
        <sz val="12"/>
        <rFont val="Calibri"/>
        <family val="2"/>
        <scheme val="minor"/>
      </rPr>
      <t xml:space="preserve"> F5CPF1</t>
    </r>
  </si>
  <si>
    <r>
      <t>16</t>
    </r>
    <r>
      <rPr>
        <vertAlign val="superscript"/>
        <sz val="12"/>
        <rFont val="Calibri"/>
        <family val="2"/>
        <scheme val="minor"/>
      </rPr>
      <t>▼</t>
    </r>
  </si>
  <si>
    <t>YSYECSEGTLTCK</t>
  </si>
  <si>
    <r>
      <rPr>
        <i/>
        <sz val="12"/>
        <rFont val="Calibri"/>
        <family val="2"/>
        <scheme val="minor"/>
      </rPr>
      <t>W. aegyptia</t>
    </r>
    <r>
      <rPr>
        <sz val="12"/>
        <rFont val="Calibri"/>
        <family val="2"/>
        <scheme val="minor"/>
      </rPr>
      <t xml:space="preserve"> C1IC46</t>
    </r>
  </si>
  <si>
    <t>APYNSNNVDIDLEAHCQ</t>
  </si>
  <si>
    <t>7352.9</t>
  </si>
  <si>
    <r>
      <rPr>
        <sz val="12"/>
        <rFont val="Calibri"/>
        <family val="2"/>
        <scheme val="minor"/>
      </rPr>
      <t xml:space="preserve">~ MTLP-2 </t>
    </r>
    <r>
      <rPr>
        <i/>
        <sz val="12"/>
        <rFont val="Calibri"/>
        <family val="2"/>
        <scheme val="minor"/>
      </rPr>
      <t>[Naja kaouthia]</t>
    </r>
  </si>
  <si>
    <t>LTCVKYYTIFGVTPVDCPD(GQN)[67.07381]LCFKRWHMMAPGRYDITRGCAATCPKAENHDSIECCSTDKCNL</t>
  </si>
  <si>
    <t>13357.67</t>
  </si>
  <si>
    <t>13366.74</t>
  </si>
  <si>
    <t>FSGCSPYR</t>
  </si>
  <si>
    <r>
      <rPr>
        <b/>
        <sz val="12"/>
        <rFont val="Calibri"/>
        <family val="2"/>
        <scheme val="minor"/>
      </rPr>
      <t xml:space="preserve"> </t>
    </r>
    <r>
      <rPr>
        <b/>
        <i/>
        <sz val="12"/>
        <rFont val="Calibri"/>
        <family val="2"/>
        <scheme val="minor"/>
      </rPr>
      <t>W. aegyptia</t>
    </r>
    <r>
      <rPr>
        <b/>
        <sz val="12"/>
        <rFont val="Calibri"/>
        <family val="2"/>
        <scheme val="minor"/>
      </rPr>
      <t xml:space="preserve"> C1IC45</t>
    </r>
  </si>
  <si>
    <r>
      <t>PLA</t>
    </r>
    <r>
      <rPr>
        <vertAlign val="subscript"/>
        <sz val="12"/>
        <rFont val="Calibri (Cuerpo)"/>
      </rPr>
      <t>2</t>
    </r>
  </si>
  <si>
    <t>C1IC45</t>
  </si>
  <si>
    <t>HLGQFNNMIKCTIPGSTPWWDFSDYGCYCGYG(GSGTPVDQLDRCCQTHDNCYTEAQKFSGCSPYTRKYSYECSEGTLTCKSDNDECAAFVCNCDRSAAICFARAPYNSNNVDIDLEAHCQ)[24.05230]</t>
  </si>
  <si>
    <r>
      <t xml:space="preserve"> </t>
    </r>
    <r>
      <rPr>
        <i/>
        <sz val="12"/>
        <rFont val="Calibri"/>
        <family val="2"/>
        <scheme val="minor"/>
      </rPr>
      <t>W. aegyptia</t>
    </r>
    <r>
      <rPr>
        <sz val="12"/>
        <rFont val="Calibri"/>
        <family val="2"/>
        <scheme val="minor"/>
      </rPr>
      <t xml:space="preserve"> C1IC46</t>
    </r>
  </si>
  <si>
    <t>13333.03</t>
  </si>
  <si>
    <t>13341.66</t>
  </si>
  <si>
    <t>KYSYECSEGTLTCK</t>
  </si>
  <si>
    <r>
      <rPr>
        <b/>
        <sz val="12"/>
        <rFont val="Calibri"/>
        <family val="2"/>
        <scheme val="minor"/>
      </rPr>
      <t xml:space="preserve"> </t>
    </r>
    <r>
      <rPr>
        <b/>
        <i/>
        <sz val="12"/>
        <rFont val="Calibri"/>
        <family val="2"/>
        <scheme val="minor"/>
      </rPr>
      <t>W. aegyptia</t>
    </r>
    <r>
      <rPr>
        <b/>
        <sz val="12"/>
        <rFont val="Calibri"/>
        <family val="2"/>
        <scheme val="minor"/>
      </rPr>
      <t xml:space="preserve"> C1IC46</t>
    </r>
  </si>
  <si>
    <t>C1IC46</t>
  </si>
  <si>
    <t>HLGQFNNMIKCTIPGSTPWWDFSDYGCYCGYGGSGTPVDQLDRCCQTHDNCYTEAQKFSGCSPYTRKYSYECSEGTLTCKSDNDECAAFVCNCDRSAAICFARAPYNSNNVDIDLEAHCQ</t>
  </si>
  <si>
    <t>CTIPGSTPWWDFSDYGCYCGYGGSGTPVDQLDR</t>
  </si>
  <si>
    <t>GTPVDELDR</t>
  </si>
  <si>
    <r>
      <rPr>
        <i/>
        <sz val="12"/>
        <rFont val="Calibri"/>
        <family val="2"/>
        <scheme val="minor"/>
      </rPr>
      <t xml:space="preserve">P. australis </t>
    </r>
    <r>
      <rPr>
        <sz val="12"/>
        <rFont val="Calibri"/>
        <family val="2"/>
        <scheme val="minor"/>
      </rPr>
      <t>P04057</t>
    </r>
  </si>
  <si>
    <r>
      <rPr>
        <i/>
        <sz val="12"/>
        <rFont val="Calibri"/>
        <family val="2"/>
        <scheme val="minor"/>
      </rPr>
      <t>W. aegyptia</t>
    </r>
    <r>
      <rPr>
        <sz val="12"/>
        <rFont val="Calibri"/>
        <family val="2"/>
        <scheme val="minor"/>
      </rPr>
      <t xml:space="preserve"> C1IC45</t>
    </r>
  </si>
  <si>
    <t>LAAICFAGAPYNSNNVDIDLEAR</t>
  </si>
  <si>
    <t>GIDSSHWNSYCTETDTFVK</t>
  </si>
  <si>
    <r>
      <rPr>
        <b/>
        <i/>
        <sz val="12"/>
        <rFont val="Calibri"/>
        <family val="2"/>
        <scheme val="minor"/>
      </rPr>
      <t>W. aegyptia</t>
    </r>
    <r>
      <rPr>
        <b/>
        <sz val="12"/>
        <rFont val="Calibri"/>
        <family val="2"/>
        <scheme val="minor"/>
      </rPr>
      <t xml:space="preserve"> AEH59581</t>
    </r>
  </si>
  <si>
    <t>vNGF</t>
  </si>
  <si>
    <t>VNGF</t>
  </si>
  <si>
    <t>AEH59581</t>
  </si>
  <si>
    <t>EDHPVHNLGEYSVCDHISAWVTKTTATDIKGNTVIVMEDVNLNNEVYKQYFFETKCRNPNPEPSGCKGIDSSHWNSYCTETDTFVKALTMEGNQASWRFIRINTACVCVISRKTENF</t>
  </si>
  <si>
    <t>GGSGTPVDQLDR</t>
  </si>
  <si>
    <r>
      <rPr>
        <b/>
        <i/>
        <sz val="12"/>
        <rFont val="Calibri"/>
        <family val="2"/>
        <scheme val="minor"/>
      </rPr>
      <t>W. aegyptia</t>
    </r>
    <r>
      <rPr>
        <b/>
        <sz val="12"/>
        <rFont val="Calibri"/>
        <family val="2"/>
        <scheme val="minor"/>
      </rPr>
      <t xml:space="preserve"> C1IC46</t>
    </r>
  </si>
  <si>
    <t>HLGQFNNMIKCTIPGS(TPWWDFSDYGCYCGY)[17.37206]GGSGTPVDQLDRCCQTHDNCYTEAQKFSGCSPYTRKYSYECSEGTLTCKSDNDECAAFVCNCDRSAAICFARAPYNSNNVDIDLEAHCQ</t>
  </si>
  <si>
    <t>7384.0</t>
  </si>
  <si>
    <t>GCAATCPK</t>
  </si>
  <si>
    <t>13333.11</t>
  </si>
  <si>
    <t>13340.49</t>
  </si>
  <si>
    <r>
      <t xml:space="preserve">56 </t>
    </r>
    <r>
      <rPr>
        <vertAlign val="superscript"/>
        <sz val="12"/>
        <rFont val="Calibri"/>
        <family val="2"/>
        <scheme val="minor"/>
      </rPr>
      <t>▼</t>
    </r>
  </si>
  <si>
    <t>n.r</t>
  </si>
  <si>
    <r>
      <t xml:space="preserve">24 </t>
    </r>
    <r>
      <rPr>
        <vertAlign val="superscript"/>
        <sz val="12"/>
        <rFont val="Calibri"/>
        <family val="2"/>
        <scheme val="minor"/>
      </rPr>
      <t>▼</t>
    </r>
  </si>
  <si>
    <t>QLELNER</t>
  </si>
  <si>
    <r>
      <rPr>
        <i/>
        <sz val="12"/>
        <rFont val="Calibri"/>
        <family val="2"/>
        <scheme val="minor"/>
      </rPr>
      <t xml:space="preserve">O. hannah </t>
    </r>
    <r>
      <rPr>
        <sz val="12"/>
        <rFont val="Calibri"/>
        <family val="2"/>
        <scheme val="minor"/>
      </rPr>
      <t>ETE70050</t>
    </r>
  </si>
  <si>
    <t>VEGF</t>
  </si>
  <si>
    <t>QPDEVITFMTVFER</t>
  </si>
  <si>
    <t>7210.5/7281.6</t>
  </si>
  <si>
    <t>7214.0/7286.0</t>
  </si>
  <si>
    <t>(3FTx)</t>
  </si>
  <si>
    <r>
      <t xml:space="preserve">55 </t>
    </r>
    <r>
      <rPr>
        <vertAlign val="superscript"/>
        <sz val="12"/>
        <rFont val="Calibri"/>
        <family val="2"/>
        <scheme val="minor"/>
      </rPr>
      <t>▼</t>
    </r>
  </si>
  <si>
    <t>PIII-SVMP</t>
  </si>
  <si>
    <r>
      <t xml:space="preserve">36 </t>
    </r>
    <r>
      <rPr>
        <vertAlign val="superscript"/>
        <sz val="12"/>
        <rFont val="Calibri"/>
        <family val="2"/>
        <scheme val="minor"/>
      </rPr>
      <t>▼</t>
    </r>
  </si>
  <si>
    <r>
      <t xml:space="preserve">22 </t>
    </r>
    <r>
      <rPr>
        <vertAlign val="superscript"/>
        <sz val="12"/>
        <rFont val="Calibri"/>
        <family val="2"/>
        <scheme val="minor"/>
      </rPr>
      <t>▼</t>
    </r>
  </si>
  <si>
    <t>7194.3/7265.4</t>
  </si>
  <si>
    <t>7198.0/7270.0</t>
  </si>
  <si>
    <r>
      <t>&gt;97</t>
    </r>
    <r>
      <rPr>
        <vertAlign val="superscript"/>
        <sz val="12"/>
        <rFont val="Calibri"/>
        <family val="2"/>
        <scheme val="minor"/>
      </rPr>
      <t>∎</t>
    </r>
  </si>
  <si>
    <t>SAECPTDSFQR</t>
  </si>
  <si>
    <r>
      <t xml:space="preserve">D. vestigiata </t>
    </r>
    <r>
      <rPr>
        <sz val="12"/>
        <rFont val="Calibri"/>
        <family val="2"/>
        <scheme val="minor"/>
      </rPr>
      <t>ABK63559</t>
    </r>
  </si>
  <si>
    <r>
      <t>66</t>
    </r>
    <r>
      <rPr>
        <vertAlign val="superscript"/>
        <sz val="12"/>
        <rFont val="Calibri"/>
        <family val="2"/>
        <scheme val="minor"/>
      </rPr>
      <t>∎</t>
    </r>
  </si>
  <si>
    <t>YIEFYVVVDNK</t>
  </si>
  <si>
    <r>
      <rPr>
        <i/>
        <sz val="12"/>
        <rFont val="Calibri"/>
        <family val="2"/>
        <scheme val="minor"/>
      </rPr>
      <t xml:space="preserve">T. carinatus </t>
    </r>
    <r>
      <rPr>
        <sz val="12"/>
        <rFont val="Calibri"/>
        <family val="2"/>
        <scheme val="minor"/>
      </rPr>
      <t>ABQ01132</t>
    </r>
  </si>
  <si>
    <t>KYIEFYVVVDNK</t>
  </si>
  <si>
    <r>
      <t>27</t>
    </r>
    <r>
      <rPr>
        <vertAlign val="superscript"/>
        <sz val="12"/>
        <rFont val="Calibri"/>
        <family val="2"/>
        <scheme val="minor"/>
      </rPr>
      <t>∎</t>
    </r>
  </si>
  <si>
    <r>
      <t>&gt;116</t>
    </r>
    <r>
      <rPr>
        <vertAlign val="superscript"/>
        <sz val="12"/>
        <rFont val="Calibri"/>
        <family val="2"/>
        <scheme val="minor"/>
      </rPr>
      <t>∎</t>
    </r>
  </si>
  <si>
    <r>
      <t>30</t>
    </r>
    <r>
      <rPr>
        <vertAlign val="superscript"/>
        <sz val="12"/>
        <rFont val="Calibri"/>
        <family val="2"/>
        <scheme val="minor"/>
      </rPr>
      <t>∎</t>
    </r>
  </si>
  <si>
    <t>EIVDLHNSLR</t>
  </si>
  <si>
    <r>
      <rPr>
        <i/>
        <sz val="12"/>
        <rFont val="Calibri"/>
        <family val="2"/>
        <scheme val="minor"/>
      </rPr>
      <t>O. hannah</t>
    </r>
    <r>
      <rPr>
        <sz val="12"/>
        <rFont val="Calibri"/>
        <family val="2"/>
        <scheme val="minor"/>
      </rPr>
      <t xml:space="preserve"> Q7ZT98</t>
    </r>
  </si>
  <si>
    <t>CRISP</t>
  </si>
  <si>
    <t>NFVYGVGANPPGSVTGHYTQIVWYK</t>
  </si>
  <si>
    <t>SVSPTASNMoxLK</t>
  </si>
  <si>
    <t>QKEIVDLHNSLR</t>
  </si>
  <si>
    <t>AWTEIIQLWHDEYK</t>
  </si>
  <si>
    <r>
      <t>24</t>
    </r>
    <r>
      <rPr>
        <vertAlign val="superscript"/>
        <sz val="12"/>
        <rFont val="Calibri"/>
        <family val="2"/>
        <scheme val="minor"/>
      </rPr>
      <t>∎</t>
    </r>
  </si>
  <si>
    <r>
      <t>38</t>
    </r>
    <r>
      <rPr>
        <vertAlign val="superscript"/>
        <sz val="12"/>
        <rFont val="Calibri"/>
        <family val="2"/>
        <scheme val="minor"/>
      </rPr>
      <t>∎</t>
    </r>
  </si>
  <si>
    <t>SVSPTASNMLK</t>
  </si>
  <si>
    <t>NVDFNSESTR</t>
  </si>
  <si>
    <r>
      <rPr>
        <i/>
        <sz val="12"/>
        <rFont val="Calibri"/>
        <family val="2"/>
        <scheme val="minor"/>
      </rPr>
      <t>N. annulifera</t>
    </r>
    <r>
      <rPr>
        <sz val="12"/>
        <rFont val="Calibri"/>
        <family val="2"/>
        <scheme val="minor"/>
      </rPr>
      <t xml:space="preserve"> P0DL15</t>
    </r>
  </si>
  <si>
    <r>
      <t>22</t>
    </r>
    <r>
      <rPr>
        <vertAlign val="superscript"/>
        <sz val="12"/>
        <rFont val="Calibri"/>
        <family val="2"/>
        <scheme val="minor"/>
      </rPr>
      <t>∎</t>
    </r>
  </si>
  <si>
    <t>VAVTMoxTHELGHNLGIR</t>
  </si>
  <si>
    <r>
      <rPr>
        <i/>
        <sz val="12"/>
        <rFont val="Calibri"/>
        <family val="2"/>
        <scheme val="minor"/>
      </rPr>
      <t xml:space="preserve">C. d. durissus </t>
    </r>
    <r>
      <rPr>
        <sz val="12"/>
        <rFont val="Calibri"/>
        <family val="2"/>
        <scheme val="minor"/>
      </rPr>
      <t>ABA42116</t>
    </r>
  </si>
  <si>
    <r>
      <t>55</t>
    </r>
    <r>
      <rPr>
        <vertAlign val="superscript"/>
        <sz val="12"/>
        <rFont val="Calibri"/>
        <family val="2"/>
        <scheme val="minor"/>
      </rPr>
      <t>∎</t>
    </r>
  </si>
  <si>
    <t>YIEFYVVVDNR</t>
  </si>
  <si>
    <r>
      <rPr>
        <i/>
        <sz val="12"/>
        <rFont val="Calibri"/>
        <family val="2"/>
        <scheme val="minor"/>
      </rPr>
      <t>C. nigrescens</t>
    </r>
    <r>
      <rPr>
        <sz val="12"/>
        <rFont val="Calibri"/>
        <family val="2"/>
        <scheme val="minor"/>
      </rPr>
      <t xml:space="preserve"> ABQ01139</t>
    </r>
  </si>
  <si>
    <r>
      <t>31</t>
    </r>
    <r>
      <rPr>
        <vertAlign val="superscript"/>
        <sz val="12"/>
        <rFont val="Calibri"/>
        <family val="2"/>
        <scheme val="minor"/>
      </rPr>
      <t>∎</t>
    </r>
  </si>
  <si>
    <r>
      <rPr>
        <i/>
        <sz val="12"/>
        <rFont val="Calibri"/>
        <family val="2"/>
        <scheme val="minor"/>
      </rPr>
      <t xml:space="preserve">W. aegyptia </t>
    </r>
    <r>
      <rPr>
        <sz val="12"/>
        <rFont val="Calibri"/>
        <family val="2"/>
        <scheme val="minor"/>
      </rPr>
      <t>C1IC45</t>
    </r>
  </si>
  <si>
    <r>
      <t>28</t>
    </r>
    <r>
      <rPr>
        <vertAlign val="superscript"/>
        <sz val="12"/>
        <rFont val="Calibri"/>
        <family val="2"/>
        <scheme val="minor"/>
      </rPr>
      <t>∎</t>
    </r>
  </si>
  <si>
    <t>QSSCQDDWIK</t>
  </si>
  <si>
    <r>
      <rPr>
        <i/>
        <sz val="12"/>
        <rFont val="Calibri"/>
        <family val="2"/>
        <scheme val="minor"/>
      </rPr>
      <t>N. atra</t>
    </r>
    <r>
      <rPr>
        <sz val="12"/>
        <rFont val="Calibri"/>
        <family val="2"/>
        <scheme val="minor"/>
      </rPr>
      <t xml:space="preserve"> Q7T1K6</t>
    </r>
  </si>
  <si>
    <r>
      <rPr>
        <i/>
        <sz val="12"/>
        <rFont val="Calibri"/>
        <family val="2"/>
        <scheme val="minor"/>
      </rPr>
      <t>N. annulifera</t>
    </r>
    <r>
      <rPr>
        <sz val="12"/>
        <rFont val="Calibri"/>
        <family val="2"/>
        <scheme val="minor"/>
      </rPr>
      <t xml:space="preserve">  P0DL14</t>
    </r>
  </si>
  <si>
    <t>24917.0/25039.0/25055.0</t>
  </si>
  <si>
    <r>
      <t xml:space="preserve"> </t>
    </r>
    <r>
      <rPr>
        <i/>
        <sz val="12"/>
        <rFont val="Calibri"/>
        <family val="2"/>
        <scheme val="minor"/>
      </rPr>
      <t>C. nigrescens</t>
    </r>
    <r>
      <rPr>
        <sz val="12"/>
        <rFont val="Calibri"/>
        <family val="2"/>
        <scheme val="minor"/>
      </rPr>
      <t xml:space="preserve"> ABQ01139</t>
    </r>
  </si>
  <si>
    <t>HDCDXPEXCTGR</t>
  </si>
  <si>
    <r>
      <rPr>
        <i/>
        <sz val="12"/>
        <rFont val="Calibri"/>
        <family val="2"/>
        <scheme val="minor"/>
      </rPr>
      <t>~ P. textilis</t>
    </r>
    <r>
      <rPr>
        <sz val="12"/>
        <rFont val="Calibri"/>
        <family val="2"/>
        <scheme val="minor"/>
      </rPr>
      <t xml:space="preserve"> XP_026570661</t>
    </r>
  </si>
  <si>
    <t>EIVDLHNSLRR</t>
  </si>
  <si>
    <t>24901.0/24917.0</t>
  </si>
  <si>
    <t>GLFSEDYTETHYAPDGR</t>
  </si>
  <si>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N. kaouthia</t>
    </r>
    <r>
      <rPr>
        <sz val="12"/>
        <rFont val="Calibri"/>
        <family val="2"/>
        <scheme val="minor"/>
      </rPr>
      <t xml:space="preserve"> Q9PVK7</t>
    </r>
  </si>
  <si>
    <t>YEDTMoxQYEFQVNGEPVVLHLER</t>
  </si>
  <si>
    <r>
      <t>D. vestigiata</t>
    </r>
    <r>
      <rPr>
        <sz val="12"/>
        <rFont val="Calibri"/>
        <family val="2"/>
        <scheme val="minor"/>
      </rPr>
      <t xml:space="preserve"> ABK63559</t>
    </r>
  </si>
  <si>
    <t>KYIEFYVVVDNR</t>
  </si>
  <si>
    <t>HDCDLPELCTGR</t>
  </si>
  <si>
    <r>
      <rPr>
        <i/>
        <sz val="12"/>
        <rFont val="Calibri"/>
        <family val="2"/>
        <scheme val="minor"/>
      </rPr>
      <t>~P. textilis</t>
    </r>
    <r>
      <rPr>
        <sz val="12"/>
        <rFont val="Calibri"/>
        <family val="2"/>
        <scheme val="minor"/>
      </rPr>
      <t xml:space="preserve"> XP_026570661</t>
    </r>
  </si>
  <si>
    <r>
      <t xml:space="preserve"> </t>
    </r>
    <r>
      <rPr>
        <i/>
        <sz val="12"/>
        <rFont val="Calibri"/>
        <family val="2"/>
        <scheme val="minor"/>
      </rPr>
      <t>N. atra</t>
    </r>
    <r>
      <rPr>
        <sz val="12"/>
        <rFont val="Calibri"/>
        <family val="2"/>
        <scheme val="minor"/>
      </rPr>
      <t xml:space="preserve"> Q7T1K6</t>
    </r>
  </si>
  <si>
    <t>25039.0/25023.0</t>
  </si>
  <si>
    <t>TFTPEBER</t>
  </si>
  <si>
    <r>
      <rPr>
        <i/>
        <sz val="12"/>
        <rFont val="Calibri"/>
        <family val="2"/>
        <scheme val="minor"/>
      </rPr>
      <t>~M. ikaheca</t>
    </r>
    <r>
      <rPr>
        <sz val="12"/>
        <rFont val="Calibri"/>
        <family val="2"/>
        <scheme val="minor"/>
      </rPr>
      <t xml:space="preserve"> AHZ08819</t>
    </r>
  </si>
  <si>
    <r>
      <t>36</t>
    </r>
    <r>
      <rPr>
        <vertAlign val="superscript"/>
        <sz val="12"/>
        <rFont val="Calibri"/>
        <family val="2"/>
        <scheme val="minor"/>
      </rPr>
      <t>∎</t>
    </r>
  </si>
  <si>
    <t>SSTFTLTNIVPQFIK</t>
  </si>
  <si>
    <r>
      <rPr>
        <i/>
        <sz val="12"/>
        <rFont val="Calibri"/>
        <family val="2"/>
        <scheme val="minor"/>
      </rPr>
      <t>O. hannah</t>
    </r>
    <r>
      <rPr>
        <sz val="12"/>
        <rFont val="Calibri"/>
        <family val="2"/>
        <scheme val="minor"/>
      </rPr>
      <t xml:space="preserve"> ETE56723</t>
    </r>
  </si>
  <si>
    <t>Endonuclease</t>
  </si>
  <si>
    <t>VTLLEASER</t>
  </si>
  <si>
    <r>
      <rPr>
        <i/>
        <sz val="12"/>
        <rFont val="Calibri"/>
        <family val="2"/>
        <scheme val="minor"/>
      </rPr>
      <t>O. s. scutellatus</t>
    </r>
    <r>
      <rPr>
        <sz val="12"/>
        <rFont val="Calibri"/>
        <family val="2"/>
        <scheme val="minor"/>
      </rPr>
      <t xml:space="preserve"> Q4JHE3</t>
    </r>
  </si>
  <si>
    <t>LAO</t>
  </si>
  <si>
    <r>
      <t xml:space="preserve">N. annulifera </t>
    </r>
    <r>
      <rPr>
        <sz val="12"/>
        <rFont val="Calibri"/>
        <family val="2"/>
        <scheme val="minor"/>
      </rPr>
      <t>P0DL15</t>
    </r>
  </si>
  <si>
    <r>
      <t>&gt;97</t>
    </r>
    <r>
      <rPr>
        <vertAlign val="superscript"/>
        <sz val="12"/>
        <rFont val="Calibri"/>
        <family val="2"/>
        <scheme val="minor"/>
      </rPr>
      <t>▼</t>
    </r>
  </si>
  <si>
    <t>TLGMoxLMEGLK</t>
  </si>
  <si>
    <r>
      <rPr>
        <i/>
        <sz val="12"/>
        <rFont val="Calibri"/>
        <family val="2"/>
        <scheme val="minor"/>
      </rPr>
      <t>M. lebetina</t>
    </r>
    <r>
      <rPr>
        <sz val="12"/>
        <rFont val="Calibri"/>
        <family val="2"/>
        <scheme val="minor"/>
      </rPr>
      <t xml:space="preserve"> AHJ80885</t>
    </r>
  </si>
  <si>
    <t>PDE</t>
  </si>
  <si>
    <t>NPFYNPSPAK</t>
  </si>
  <si>
    <t>AATYFWPGSEVK</t>
  </si>
  <si>
    <r>
      <t>97</t>
    </r>
    <r>
      <rPr>
        <vertAlign val="superscript"/>
        <sz val="12"/>
        <rFont val="Calibri"/>
        <family val="2"/>
        <scheme val="minor"/>
      </rPr>
      <t>▼</t>
    </r>
  </si>
  <si>
    <t>SMoxQAIFLAHGPGFK</t>
  </si>
  <si>
    <r>
      <t>65</t>
    </r>
    <r>
      <rPr>
        <vertAlign val="superscript"/>
        <sz val="12"/>
        <rFont val="Calibri"/>
        <family val="2"/>
        <scheme val="minor"/>
      </rPr>
      <t>▼</t>
    </r>
  </si>
  <si>
    <t>IYFEPPLPPK</t>
  </si>
  <si>
    <t>RIYFEPPLPPK</t>
  </si>
  <si>
    <r>
      <t>31</t>
    </r>
    <r>
      <rPr>
        <vertAlign val="superscript"/>
        <sz val="12"/>
        <rFont val="Calibri"/>
        <family val="2"/>
        <scheme val="minor"/>
      </rPr>
      <t>▼</t>
    </r>
  </si>
  <si>
    <t>GCQQTFAVVGAVPGDTYIAR</t>
  </si>
  <si>
    <t>VTLDLFGEWR</t>
  </si>
  <si>
    <r>
      <t xml:space="preserve">E. c. sochureki </t>
    </r>
    <r>
      <rPr>
        <sz val="12"/>
        <rFont val="Calibri"/>
        <family val="2"/>
        <scheme val="minor"/>
      </rPr>
      <t>ADI47585</t>
    </r>
  </si>
  <si>
    <r>
      <t>26</t>
    </r>
    <r>
      <rPr>
        <vertAlign val="superscript"/>
        <sz val="12"/>
        <rFont val="Calibri"/>
        <family val="2"/>
        <scheme val="minor"/>
      </rPr>
      <t>▼</t>
    </r>
  </si>
  <si>
    <t>IYFEPPLPPKK</t>
  </si>
  <si>
    <r>
      <t xml:space="preserve">N. atra </t>
    </r>
    <r>
      <rPr>
        <sz val="12"/>
        <rFont val="Calibri"/>
        <family val="2"/>
        <scheme val="minor"/>
      </rPr>
      <t>A8QL58</t>
    </r>
  </si>
  <si>
    <t>EGWYVNMGPMR</t>
  </si>
  <si>
    <t>HVVVVGAGMAGLSAAYVLAGAGHK</t>
  </si>
  <si>
    <t>NDDLFSYEK</t>
  </si>
  <si>
    <r>
      <rPr>
        <i/>
        <sz val="12"/>
        <rFont val="Calibri"/>
        <family val="2"/>
        <scheme val="minor"/>
      </rPr>
      <t>B. fasciatus</t>
    </r>
    <r>
      <rPr>
        <sz val="12"/>
        <rFont val="Calibri"/>
        <family val="2"/>
        <scheme val="minor"/>
      </rPr>
      <t xml:space="preserve"> A8QL52</t>
    </r>
  </si>
  <si>
    <t>YTMoxGALTSFTPYQFQDYIETVAAPVGR</t>
  </si>
  <si>
    <r>
      <t>97</t>
    </r>
    <r>
      <rPr>
        <vertAlign val="superscript"/>
        <sz val="12"/>
        <rFont val="Calibri"/>
        <family val="2"/>
        <scheme val="minor"/>
      </rPr>
      <t>∎</t>
    </r>
  </si>
  <si>
    <r>
      <rPr>
        <i/>
        <sz val="12"/>
        <rFont val="Calibri"/>
        <family val="2"/>
        <scheme val="minor"/>
      </rPr>
      <t>N. atra</t>
    </r>
    <r>
      <rPr>
        <sz val="12"/>
        <rFont val="Calibri"/>
        <family val="2"/>
        <scheme val="minor"/>
      </rPr>
      <t xml:space="preserve">  A8QL58</t>
    </r>
  </si>
  <si>
    <t>IHLISDNQL</t>
  </si>
  <si>
    <r>
      <t xml:space="preserve">B. multicinctus </t>
    </r>
    <r>
      <rPr>
        <sz val="12"/>
        <rFont val="Calibri"/>
        <family val="2"/>
        <scheme val="minor"/>
      </rPr>
      <t>A8QL51</t>
    </r>
  </si>
  <si>
    <t>ADFLEGVR</t>
  </si>
  <si>
    <r>
      <rPr>
        <i/>
        <sz val="12"/>
        <rFont val="Calibri"/>
        <family val="2"/>
        <scheme val="minor"/>
      </rPr>
      <t>B. fasciatus</t>
    </r>
    <r>
      <rPr>
        <sz val="12"/>
        <rFont val="Calibri"/>
        <family val="2"/>
        <scheme val="minor"/>
      </rPr>
      <t xml:space="preserve"> AAC59905</t>
    </r>
  </si>
  <si>
    <t>Acetylcholinesterase</t>
  </si>
  <si>
    <t>ETQVLLGVVK</t>
  </si>
  <si>
    <t>VGAFGFLGLPGSPEAPGNMGLLDQR</t>
  </si>
  <si>
    <r>
      <t>O. s. scutellatus</t>
    </r>
    <r>
      <rPr>
        <sz val="12"/>
        <rFont val="Calibri"/>
        <family val="2"/>
        <scheme val="minor"/>
      </rPr>
      <t xml:space="preserve"> Q4JHE3</t>
    </r>
  </si>
  <si>
    <r>
      <t xml:space="preserve"> </t>
    </r>
    <r>
      <rPr>
        <i/>
        <sz val="12"/>
        <rFont val="Calibri"/>
        <family val="2"/>
        <scheme val="minor"/>
      </rPr>
      <t>N. atra</t>
    </r>
    <r>
      <rPr>
        <sz val="12"/>
        <rFont val="Calibri"/>
        <family val="2"/>
        <scheme val="minor"/>
      </rPr>
      <t xml:space="preserve"> A8QL58</t>
    </r>
  </si>
  <si>
    <t>YTMGALTSFTPYQFQDYIETVAAPVGR</t>
  </si>
  <si>
    <r>
      <t>B. fasciatus</t>
    </r>
    <r>
      <rPr>
        <sz val="12"/>
        <rFont val="Calibri"/>
        <family val="2"/>
        <scheme val="minor"/>
      </rPr>
      <t xml:space="preserve"> A8QL52</t>
    </r>
  </si>
  <si>
    <r>
      <rPr>
        <i/>
        <sz val="12"/>
        <rFont val="Calibri"/>
        <family val="2"/>
        <scheme val="minor"/>
      </rPr>
      <t>B. multicinctus</t>
    </r>
    <r>
      <rPr>
        <sz val="12"/>
        <rFont val="Calibri"/>
        <family val="2"/>
        <scheme val="minor"/>
      </rPr>
      <t xml:space="preserve"> A8QL51</t>
    </r>
  </si>
  <si>
    <t>DEGSYFLIYGLPGFSK</t>
  </si>
  <si>
    <t>VATQTGWVR</t>
  </si>
  <si>
    <r>
      <rPr>
        <i/>
        <sz val="12"/>
        <rFont val="Calibri"/>
        <family val="2"/>
        <scheme val="minor"/>
      </rPr>
      <t>P. mucrosquamatus</t>
    </r>
    <r>
      <rPr>
        <sz val="12"/>
        <rFont val="Calibri"/>
        <family val="2"/>
        <scheme val="minor"/>
      </rPr>
      <t xml:space="preserve"> XP_015668657</t>
    </r>
  </si>
  <si>
    <t>XYFAGEYTGR</t>
  </si>
  <si>
    <r>
      <rPr>
        <i/>
        <sz val="12"/>
        <rFont val="Calibri"/>
        <family val="2"/>
        <scheme val="minor"/>
      </rPr>
      <t xml:space="preserve">~ N. scutatus </t>
    </r>
    <r>
      <rPr>
        <sz val="12"/>
        <rFont val="Calibri"/>
        <family val="2"/>
        <scheme val="minor"/>
      </rPr>
      <t xml:space="preserve"> XP_026538830</t>
    </r>
  </si>
  <si>
    <t>AILQSGAPNAPWATVTPAESR</t>
  </si>
  <si>
    <r>
      <rPr>
        <i/>
        <sz val="12"/>
        <rFont val="Calibri"/>
        <family val="2"/>
        <scheme val="minor"/>
      </rPr>
      <t xml:space="preserve"> E. coloratus</t>
    </r>
    <r>
      <rPr>
        <sz val="12"/>
        <rFont val="Calibri"/>
        <family val="2"/>
        <scheme val="minor"/>
      </rPr>
      <t xml:space="preserve"> AHY20009</t>
    </r>
  </si>
  <si>
    <r>
      <rPr>
        <i/>
        <sz val="12"/>
        <rFont val="Calibri"/>
        <family val="2"/>
        <scheme val="minor"/>
      </rPr>
      <t>N. atra</t>
    </r>
    <r>
      <rPr>
        <sz val="12"/>
        <rFont val="Calibri"/>
        <family val="2"/>
        <scheme val="minor"/>
      </rPr>
      <t xml:space="preserve"> A8QL58</t>
    </r>
  </si>
  <si>
    <t>EGWYVNMoxGPMoxR</t>
  </si>
  <si>
    <t>HVVVVGAGMoxAGLSAAYVLAGAGHK</t>
  </si>
  <si>
    <r>
      <t>E. coloratus</t>
    </r>
    <r>
      <rPr>
        <sz val="12"/>
        <rFont val="Calibri"/>
        <family val="2"/>
        <scheme val="minor"/>
      </rPr>
      <t xml:space="preserve"> AHY20009</t>
    </r>
  </si>
  <si>
    <r>
      <t xml:space="preserve"> </t>
    </r>
    <r>
      <rPr>
        <i/>
        <sz val="12"/>
        <rFont val="Calibri"/>
        <family val="2"/>
        <scheme val="minor"/>
      </rPr>
      <t>B. multicinctus</t>
    </r>
    <r>
      <rPr>
        <sz val="12"/>
        <rFont val="Calibri"/>
        <family val="2"/>
        <scheme val="minor"/>
      </rPr>
      <t xml:space="preserve">  A8QL51</t>
    </r>
  </si>
  <si>
    <r>
      <t>60</t>
    </r>
    <r>
      <rPr>
        <vertAlign val="superscript"/>
        <sz val="12"/>
        <rFont val="Calibri"/>
        <family val="2"/>
        <scheme val="minor"/>
      </rPr>
      <t>▼</t>
    </r>
  </si>
  <si>
    <t>SSQLTNTPEQDR</t>
  </si>
  <si>
    <r>
      <rPr>
        <i/>
        <sz val="12"/>
        <rFont val="Calibri"/>
        <family val="2"/>
        <scheme val="minor"/>
      </rPr>
      <t xml:space="preserve"> N. mossambica</t>
    </r>
    <r>
      <rPr>
        <sz val="12"/>
        <rFont val="Calibri"/>
        <family val="2"/>
        <scheme val="minor"/>
      </rPr>
      <t xml:space="preserve"> Q10749</t>
    </r>
  </si>
  <si>
    <t>KYIEFYVVVDNVMYR</t>
  </si>
  <si>
    <r>
      <t>E. c. sochureki</t>
    </r>
    <r>
      <rPr>
        <sz val="12"/>
        <rFont val="Calibri"/>
        <family val="2"/>
        <scheme val="minor"/>
      </rPr>
      <t xml:space="preserve"> ADI47585</t>
    </r>
  </si>
  <si>
    <r>
      <t>55</t>
    </r>
    <r>
      <rPr>
        <vertAlign val="superscript"/>
        <sz val="12"/>
        <rFont val="Calibri"/>
        <family val="2"/>
        <scheme val="minor"/>
      </rPr>
      <t>▼</t>
    </r>
  </si>
  <si>
    <t>KYIEFYVVVDNVMoxYR</t>
  </si>
  <si>
    <r>
      <rPr>
        <i/>
        <sz val="12"/>
        <rFont val="Calibri"/>
        <family val="2"/>
        <scheme val="minor"/>
      </rPr>
      <t>N. mossambica</t>
    </r>
    <r>
      <rPr>
        <sz val="12"/>
        <rFont val="Calibri"/>
        <family val="2"/>
        <scheme val="minor"/>
      </rPr>
      <t xml:space="preserve"> Q10749</t>
    </r>
  </si>
  <si>
    <r>
      <rPr>
        <i/>
        <sz val="12"/>
        <rFont val="Calibri"/>
        <family val="2"/>
        <scheme val="minor"/>
      </rPr>
      <t>E. c. sochureki</t>
    </r>
    <r>
      <rPr>
        <sz val="12"/>
        <rFont val="Calibri"/>
        <family val="2"/>
        <scheme val="minor"/>
      </rPr>
      <t xml:space="preserve"> ADI47585</t>
    </r>
  </si>
  <si>
    <t>YCHLPADPGPCSNYRPAYYYNPASR</t>
  </si>
  <si>
    <t>NGENLCIK</t>
  </si>
  <si>
    <t>TFYEGNLLGKQFK</t>
  </si>
  <si>
    <t>TFYEGNLLGKQFKR</t>
  </si>
  <si>
    <t>NGENLCIKTFYEGNLLGK</t>
  </si>
  <si>
    <t>(844.5)TPVDCPDGQNXCFQR</t>
  </si>
  <si>
    <t>LTCLICPK</t>
  </si>
  <si>
    <t>CCQTHDNCYTEAQKFSGCSPYTR</t>
  </si>
  <si>
    <t>YSYECSEGTLTCKSDNDECAAFVCNCDR</t>
  </si>
  <si>
    <t>KYSYECSEGTLTCKSDNDECAAFVCNCDR</t>
  </si>
  <si>
    <t>Acidic PLA2 PL-II</t>
  </si>
  <si>
    <t>GEAQVYVDCMNR</t>
  </si>
  <si>
    <t>INTACVCVISR</t>
  </si>
  <si>
    <t>ALTMoxEGNQASWR</t>
  </si>
  <si>
    <t>GNTVIVMEDVNLNNEVYK</t>
  </si>
  <si>
    <t>VYEMVNXXNMK</t>
  </si>
  <si>
    <t>(290.1)DECDXPEXCTGR</t>
  </si>
  <si>
    <t>TFTPEQER</t>
  </si>
  <si>
    <t>XVMVEPGTK</t>
  </si>
  <si>
    <t>(494.3)FPEXCTGR</t>
  </si>
  <si>
    <t>AAMDECDXPEXCGTR</t>
  </si>
  <si>
    <t>VYEMVNXXNMYGR</t>
  </si>
  <si>
    <t>TLGMLMEGLK</t>
  </si>
  <si>
    <t>QPLSETLR</t>
  </si>
  <si>
    <t>SAECPTDSFKR</t>
  </si>
  <si>
    <t>FPILSANIKPR</t>
  </si>
  <si>
    <t>5'Nucleotidase</t>
  </si>
  <si>
    <t>KFWEADGIHGGK</t>
  </si>
  <si>
    <t>ENDVPIPCAQEDVR</t>
  </si>
  <si>
    <t>NDCDLPEYCTGQSAECPTDVFHR</t>
  </si>
  <si>
    <t>YLISHTPQCILNEPLR</t>
  </si>
  <si>
    <r>
      <t xml:space="preserve">13 </t>
    </r>
    <r>
      <rPr>
        <vertAlign val="superscript"/>
        <sz val="12"/>
        <color theme="1"/>
        <rFont val="Calibri"/>
        <family val="2"/>
        <scheme val="minor"/>
      </rPr>
      <t>▼</t>
    </r>
  </si>
  <si>
    <r>
      <rPr>
        <i/>
        <sz val="12"/>
        <color theme="1"/>
        <rFont val="Calibri"/>
        <family val="2"/>
        <scheme val="minor"/>
      </rPr>
      <t xml:space="preserve">W.aegyptia </t>
    </r>
    <r>
      <rPr>
        <sz val="12"/>
        <color theme="1"/>
        <rFont val="Calibri"/>
        <family val="2"/>
        <scheme val="minor"/>
      </rPr>
      <t>C1IC48</t>
    </r>
  </si>
  <si>
    <r>
      <t>6</t>
    </r>
    <r>
      <rPr>
        <vertAlign val="superscript"/>
        <sz val="12"/>
        <color theme="1"/>
        <rFont val="Calibri"/>
        <family val="2"/>
        <scheme val="minor"/>
      </rPr>
      <t>▼</t>
    </r>
  </si>
  <si>
    <r>
      <rPr>
        <b/>
        <i/>
        <sz val="12"/>
        <color theme="1"/>
        <rFont val="Calibri"/>
        <family val="2"/>
        <scheme val="minor"/>
      </rPr>
      <t xml:space="preserve">W.aegyptia </t>
    </r>
    <r>
      <rPr>
        <b/>
        <sz val="12"/>
        <color theme="1"/>
        <rFont val="Calibri"/>
        <family val="2"/>
        <scheme val="minor"/>
      </rPr>
      <t>C1IC50</t>
    </r>
  </si>
  <si>
    <r>
      <rPr>
        <i/>
        <sz val="12"/>
        <color theme="1"/>
        <rFont val="Calibri"/>
        <family val="2"/>
        <scheme val="minor"/>
      </rPr>
      <t xml:space="preserve">W.aegyptia </t>
    </r>
    <r>
      <rPr>
        <sz val="12"/>
        <color theme="1"/>
        <rFont val="Calibri"/>
        <family val="2"/>
        <scheme val="minor"/>
      </rPr>
      <t>C1IC49</t>
    </r>
  </si>
  <si>
    <r>
      <rPr>
        <i/>
        <sz val="12"/>
        <color theme="1"/>
        <rFont val="Calibri"/>
        <family val="2"/>
        <scheme val="minor"/>
      </rPr>
      <t xml:space="preserve">W.aegyptia </t>
    </r>
    <r>
      <rPr>
        <sz val="12"/>
        <color theme="1"/>
        <rFont val="Calibri"/>
        <family val="2"/>
        <scheme val="minor"/>
      </rPr>
      <t>C1IC51</t>
    </r>
  </si>
  <si>
    <r>
      <rPr>
        <i/>
        <sz val="12"/>
        <color theme="1"/>
        <rFont val="Calibri"/>
        <family val="2"/>
        <scheme val="minor"/>
      </rPr>
      <t xml:space="preserve">W.aegyptia </t>
    </r>
    <r>
      <rPr>
        <sz val="12"/>
        <color theme="1"/>
        <rFont val="Calibri"/>
        <family val="2"/>
        <scheme val="minor"/>
      </rPr>
      <t>C0HKZ8</t>
    </r>
  </si>
  <si>
    <r>
      <rPr>
        <i/>
        <sz val="12"/>
        <color theme="1"/>
        <rFont val="Calibri"/>
        <family val="2"/>
        <scheme val="minor"/>
      </rPr>
      <t xml:space="preserve">~ D.angusticeps </t>
    </r>
    <r>
      <rPr>
        <sz val="12"/>
        <color theme="1"/>
        <rFont val="Calibri"/>
        <family val="2"/>
        <scheme val="minor"/>
      </rPr>
      <t>Q8QGR0</t>
    </r>
  </si>
  <si>
    <r>
      <t>LTC</t>
    </r>
    <r>
      <rPr>
        <vertAlign val="superscript"/>
        <sz val="12"/>
        <color theme="1"/>
        <rFont val="Calibri"/>
        <family val="2"/>
        <scheme val="minor"/>
      </rPr>
      <t>PRO</t>
    </r>
    <r>
      <rPr>
        <sz val="12"/>
        <color theme="1"/>
        <rFont val="Calibri"/>
        <family val="2"/>
        <scheme val="minor"/>
      </rPr>
      <t>LICPK</t>
    </r>
  </si>
  <si>
    <r>
      <t>18</t>
    </r>
    <r>
      <rPr>
        <vertAlign val="superscript"/>
        <sz val="12"/>
        <color theme="1"/>
        <rFont val="Calibri"/>
        <family val="2"/>
        <scheme val="minor"/>
      </rPr>
      <t>▼</t>
    </r>
  </si>
  <si>
    <r>
      <rPr>
        <i/>
        <sz val="12"/>
        <color theme="1"/>
        <rFont val="Calibri"/>
        <family val="2"/>
        <scheme val="minor"/>
      </rPr>
      <t xml:space="preserve">W.aegyptia </t>
    </r>
    <r>
      <rPr>
        <sz val="12"/>
        <color theme="1"/>
        <rFont val="Calibri"/>
        <family val="2"/>
        <scheme val="minor"/>
      </rPr>
      <t>C1IC46</t>
    </r>
  </si>
  <si>
    <r>
      <t>16</t>
    </r>
    <r>
      <rPr>
        <vertAlign val="superscript"/>
        <sz val="12"/>
        <color theme="1"/>
        <rFont val="Calibri"/>
        <family val="2"/>
        <scheme val="minor"/>
      </rPr>
      <t>▼</t>
    </r>
  </si>
  <si>
    <r>
      <t xml:space="preserve">&gt;116 </t>
    </r>
    <r>
      <rPr>
        <vertAlign val="superscript"/>
        <sz val="12"/>
        <color theme="1"/>
        <rFont val="Calibri"/>
        <family val="2"/>
        <scheme val="minor"/>
      </rPr>
      <t>∎</t>
    </r>
  </si>
  <si>
    <r>
      <rPr>
        <i/>
        <sz val="12"/>
        <color theme="1"/>
        <rFont val="Calibri"/>
        <family val="2"/>
        <scheme val="minor"/>
      </rPr>
      <t xml:space="preserve">~ A.superbus </t>
    </r>
    <r>
      <rPr>
        <sz val="12"/>
        <color theme="1"/>
        <rFont val="Calibri"/>
        <family val="2"/>
        <scheme val="minor"/>
      </rPr>
      <t>ABH10621</t>
    </r>
  </si>
  <si>
    <r>
      <rPr>
        <i/>
        <sz val="12"/>
        <color theme="1"/>
        <rFont val="Calibri"/>
        <family val="2"/>
        <scheme val="minor"/>
      </rPr>
      <t xml:space="preserve">~ A.engaddensis </t>
    </r>
    <r>
      <rPr>
        <sz val="12"/>
        <color theme="1"/>
        <rFont val="Calibri"/>
        <family val="2"/>
        <scheme val="minor"/>
      </rPr>
      <t>AAF01042</t>
    </r>
  </si>
  <si>
    <r>
      <t xml:space="preserve">80 </t>
    </r>
    <r>
      <rPr>
        <vertAlign val="superscript"/>
        <sz val="12"/>
        <color theme="1"/>
        <rFont val="Calibri"/>
        <family val="2"/>
        <scheme val="minor"/>
      </rPr>
      <t>∎</t>
    </r>
  </si>
  <si>
    <r>
      <rPr>
        <i/>
        <sz val="12"/>
        <color theme="1"/>
        <rFont val="Calibri"/>
        <family val="2"/>
        <scheme val="minor"/>
      </rPr>
      <t>D. vestigiata</t>
    </r>
    <r>
      <rPr>
        <sz val="12"/>
        <color theme="1"/>
        <rFont val="Calibri"/>
        <family val="2"/>
        <scheme val="minor"/>
      </rPr>
      <t xml:space="preserve"> ABK63559</t>
    </r>
  </si>
  <si>
    <r>
      <rPr>
        <i/>
        <sz val="12"/>
        <color theme="1"/>
        <rFont val="Calibri"/>
        <family val="2"/>
        <scheme val="minor"/>
      </rPr>
      <t xml:space="preserve">~ N.scutatus  </t>
    </r>
    <r>
      <rPr>
        <sz val="12"/>
        <color theme="1"/>
        <rFont val="Calibri"/>
        <family val="2"/>
        <scheme val="minor"/>
      </rPr>
      <t>XP_026536946</t>
    </r>
  </si>
  <si>
    <r>
      <t xml:space="preserve">28 </t>
    </r>
    <r>
      <rPr>
        <vertAlign val="superscript"/>
        <sz val="12"/>
        <color theme="1"/>
        <rFont val="Calibri"/>
        <family val="2"/>
        <scheme val="minor"/>
      </rPr>
      <t>∎</t>
    </r>
  </si>
  <si>
    <r>
      <t xml:space="preserve">N. atra </t>
    </r>
    <r>
      <rPr>
        <sz val="12"/>
        <color theme="1"/>
        <rFont val="Calibri"/>
        <family val="2"/>
        <scheme val="minor"/>
      </rPr>
      <t>Q7T1K6</t>
    </r>
  </si>
  <si>
    <r>
      <t>33</t>
    </r>
    <r>
      <rPr>
        <vertAlign val="superscript"/>
        <sz val="12"/>
        <color theme="1"/>
        <rFont val="Calibri"/>
        <family val="2"/>
        <scheme val="minor"/>
      </rPr>
      <t>▼</t>
    </r>
  </si>
  <si>
    <r>
      <t xml:space="preserve">O. hannah </t>
    </r>
    <r>
      <rPr>
        <sz val="12"/>
        <color theme="1"/>
        <rFont val="Calibri"/>
        <family val="2"/>
        <scheme val="minor"/>
      </rPr>
      <t>Q7ZT98</t>
    </r>
  </si>
  <si>
    <r>
      <t>30</t>
    </r>
    <r>
      <rPr>
        <vertAlign val="superscript"/>
        <sz val="12"/>
        <color theme="1"/>
        <rFont val="Calibri"/>
        <family val="2"/>
        <scheme val="minor"/>
      </rPr>
      <t>▼</t>
    </r>
  </si>
  <si>
    <r>
      <t>27</t>
    </r>
    <r>
      <rPr>
        <vertAlign val="superscript"/>
        <sz val="12"/>
        <color theme="1"/>
        <rFont val="Calibri"/>
        <family val="2"/>
        <scheme val="minor"/>
      </rPr>
      <t>▼</t>
    </r>
  </si>
  <si>
    <r>
      <t xml:space="preserve">57 </t>
    </r>
    <r>
      <rPr>
        <vertAlign val="superscript"/>
        <sz val="12"/>
        <color theme="1"/>
        <rFont val="Calibri"/>
        <family val="2"/>
        <scheme val="minor"/>
      </rPr>
      <t>∎</t>
    </r>
  </si>
  <si>
    <r>
      <rPr>
        <i/>
        <sz val="12"/>
        <color theme="1"/>
        <rFont val="Calibri"/>
        <family val="2"/>
        <scheme val="minor"/>
      </rPr>
      <t xml:space="preserve">~ N.mossambica </t>
    </r>
    <r>
      <rPr>
        <sz val="12"/>
        <color theme="1"/>
        <rFont val="Calibri"/>
        <family val="2"/>
        <scheme val="minor"/>
      </rPr>
      <t>Q10749</t>
    </r>
  </si>
  <si>
    <r>
      <t xml:space="preserve">39 </t>
    </r>
    <r>
      <rPr>
        <vertAlign val="superscript"/>
        <sz val="12"/>
        <color theme="1"/>
        <rFont val="Calibri"/>
        <family val="2"/>
        <scheme val="minor"/>
      </rPr>
      <t>∎</t>
    </r>
  </si>
  <si>
    <r>
      <t xml:space="preserve">25 </t>
    </r>
    <r>
      <rPr>
        <vertAlign val="superscript"/>
        <sz val="12"/>
        <color theme="1"/>
        <rFont val="Calibri"/>
        <family val="2"/>
        <scheme val="minor"/>
      </rPr>
      <t>∎</t>
    </r>
  </si>
  <si>
    <r>
      <t xml:space="preserve">22 </t>
    </r>
    <r>
      <rPr>
        <vertAlign val="superscript"/>
        <sz val="12"/>
        <color theme="1"/>
        <rFont val="Calibri"/>
        <family val="2"/>
        <scheme val="minor"/>
      </rPr>
      <t>∎</t>
    </r>
  </si>
  <si>
    <r>
      <t xml:space="preserve">N. annulifera </t>
    </r>
    <r>
      <rPr>
        <sz val="12"/>
        <color theme="1"/>
        <rFont val="Calibri"/>
        <family val="2"/>
        <scheme val="minor"/>
      </rPr>
      <t>P0DL15</t>
    </r>
  </si>
  <si>
    <r>
      <t xml:space="preserve">~ A.engaddensis </t>
    </r>
    <r>
      <rPr>
        <sz val="12"/>
        <color theme="1"/>
        <rFont val="Calibri"/>
        <family val="2"/>
        <scheme val="minor"/>
      </rPr>
      <t>AAF01040</t>
    </r>
  </si>
  <si>
    <r>
      <t xml:space="preserve">~ N. mossambica </t>
    </r>
    <r>
      <rPr>
        <sz val="12"/>
        <color theme="1"/>
        <rFont val="Calibri"/>
        <family val="2"/>
        <scheme val="minor"/>
      </rPr>
      <t>Q10749</t>
    </r>
  </si>
  <si>
    <r>
      <t xml:space="preserve">~ N.scutatus </t>
    </r>
    <r>
      <rPr>
        <sz val="12"/>
        <color theme="1"/>
        <rFont val="Calibri"/>
        <family val="2"/>
        <scheme val="minor"/>
      </rPr>
      <t>XP_026536946</t>
    </r>
  </si>
  <si>
    <r>
      <t xml:space="preserve">56 </t>
    </r>
    <r>
      <rPr>
        <vertAlign val="superscript"/>
        <sz val="12"/>
        <color theme="1"/>
        <rFont val="Calibri"/>
        <family val="2"/>
        <scheme val="minor"/>
      </rPr>
      <t>∎</t>
    </r>
  </si>
  <si>
    <r>
      <rPr>
        <i/>
        <sz val="12"/>
        <color theme="1"/>
        <rFont val="Calibri"/>
        <family val="2"/>
        <scheme val="minor"/>
      </rPr>
      <t xml:space="preserve">~ P. textilis </t>
    </r>
    <r>
      <rPr>
        <sz val="12"/>
        <color theme="1"/>
        <rFont val="Calibri"/>
        <family val="2"/>
        <scheme val="minor"/>
      </rPr>
      <t>XP_026570661</t>
    </r>
  </si>
  <si>
    <r>
      <t>&gt;116</t>
    </r>
    <r>
      <rPr>
        <vertAlign val="superscript"/>
        <sz val="12"/>
        <color theme="1"/>
        <rFont val="Calibri"/>
        <family val="2"/>
        <scheme val="minor"/>
      </rPr>
      <t>▼</t>
    </r>
  </si>
  <si>
    <r>
      <rPr>
        <i/>
        <sz val="12"/>
        <color theme="1"/>
        <rFont val="Calibri"/>
        <family val="2"/>
        <scheme val="minor"/>
      </rPr>
      <t>M. lebetina</t>
    </r>
    <r>
      <rPr>
        <sz val="12"/>
        <color theme="1"/>
        <rFont val="Calibri"/>
        <family val="2"/>
        <scheme val="minor"/>
      </rPr>
      <t xml:space="preserve"> AHJ80885</t>
    </r>
  </si>
  <si>
    <r>
      <t>97</t>
    </r>
    <r>
      <rPr>
        <vertAlign val="superscript"/>
        <sz val="12"/>
        <color theme="1"/>
        <rFont val="Calibri"/>
        <family val="2"/>
        <scheme val="minor"/>
      </rPr>
      <t>▼</t>
    </r>
  </si>
  <si>
    <r>
      <rPr>
        <i/>
        <sz val="12"/>
        <color theme="1"/>
        <rFont val="Calibri"/>
        <family val="2"/>
        <scheme val="minor"/>
      </rPr>
      <t>T. sirtalis</t>
    </r>
    <r>
      <rPr>
        <sz val="12"/>
        <color theme="1"/>
        <rFont val="Calibri"/>
        <family val="2"/>
        <scheme val="minor"/>
      </rPr>
      <t xml:space="preserve"> XP_013908397</t>
    </r>
  </si>
  <si>
    <r>
      <t>60</t>
    </r>
    <r>
      <rPr>
        <vertAlign val="superscript"/>
        <sz val="12"/>
        <color theme="1"/>
        <rFont val="Calibri"/>
        <family val="2"/>
        <scheme val="minor"/>
      </rPr>
      <t>▼</t>
    </r>
  </si>
  <si>
    <r>
      <rPr>
        <i/>
        <sz val="12"/>
        <color theme="1"/>
        <rFont val="Calibri"/>
        <family val="2"/>
        <scheme val="minor"/>
      </rPr>
      <t>E. coloratus</t>
    </r>
    <r>
      <rPr>
        <sz val="12"/>
        <color theme="1"/>
        <rFont val="Calibri"/>
        <family val="2"/>
        <scheme val="minor"/>
      </rPr>
      <t xml:space="preserve"> ADI47614</t>
    </r>
  </si>
  <si>
    <r>
      <rPr>
        <i/>
        <sz val="12"/>
        <color theme="1"/>
        <rFont val="Calibri"/>
        <family val="2"/>
        <scheme val="minor"/>
      </rPr>
      <t xml:space="preserve">~ P. australis  </t>
    </r>
    <r>
      <rPr>
        <sz val="12"/>
        <color theme="1"/>
        <rFont val="Calibri"/>
        <family val="2"/>
        <scheme val="minor"/>
      </rPr>
      <t>ABQ01134</t>
    </r>
  </si>
  <si>
    <r>
      <rPr>
        <i/>
        <sz val="12"/>
        <color theme="1"/>
        <rFont val="Calibri"/>
        <family val="2"/>
        <scheme val="minor"/>
      </rPr>
      <t xml:space="preserve">~ P. flavoviridis </t>
    </r>
    <r>
      <rPr>
        <sz val="12"/>
        <color theme="1"/>
        <rFont val="Calibri"/>
        <family val="2"/>
        <scheme val="minor"/>
      </rPr>
      <t>ABQ01135</t>
    </r>
    <r>
      <rPr>
        <sz val="12"/>
        <color theme="1"/>
        <rFont val="Calibri"/>
        <family val="2"/>
        <scheme val="minor"/>
      </rPr>
      <t/>
    </r>
  </si>
  <si>
    <r>
      <rPr>
        <i/>
        <sz val="12"/>
        <color theme="1"/>
        <rFont val="Calibri"/>
        <family val="2"/>
        <scheme val="minor"/>
      </rPr>
      <t>N. atra</t>
    </r>
    <r>
      <rPr>
        <sz val="12"/>
        <color theme="1"/>
        <rFont val="Calibri"/>
        <family val="2"/>
        <scheme val="minor"/>
      </rPr>
      <t xml:space="preserve"> A8QL58</t>
    </r>
  </si>
  <si>
    <r>
      <rPr>
        <i/>
        <sz val="12"/>
        <color theme="1"/>
        <rFont val="Calibri"/>
        <family val="2"/>
        <scheme val="minor"/>
      </rPr>
      <t>B. fasciatus</t>
    </r>
    <r>
      <rPr>
        <sz val="12"/>
        <color theme="1"/>
        <rFont val="Calibri"/>
        <family val="2"/>
        <scheme val="minor"/>
      </rPr>
      <t xml:space="preserve"> A8QL52</t>
    </r>
  </si>
  <si>
    <r>
      <t>116</t>
    </r>
    <r>
      <rPr>
        <vertAlign val="superscript"/>
        <sz val="12"/>
        <color theme="1"/>
        <rFont val="Calibri"/>
        <family val="2"/>
        <scheme val="minor"/>
      </rPr>
      <t>∎</t>
    </r>
  </si>
  <si>
    <r>
      <t xml:space="preserve">60 </t>
    </r>
    <r>
      <rPr>
        <vertAlign val="superscript"/>
        <sz val="12"/>
        <color theme="1"/>
        <rFont val="Calibri"/>
        <family val="2"/>
        <scheme val="minor"/>
      </rPr>
      <t>∎</t>
    </r>
  </si>
  <si>
    <r>
      <t xml:space="preserve">62 </t>
    </r>
    <r>
      <rPr>
        <vertAlign val="superscript"/>
        <sz val="12"/>
        <color theme="1"/>
        <rFont val="Calibri"/>
        <family val="2"/>
        <scheme val="minor"/>
      </rPr>
      <t>∎</t>
    </r>
  </si>
  <si>
    <r>
      <rPr>
        <i/>
        <sz val="12"/>
        <color theme="1"/>
        <rFont val="Calibri"/>
        <family val="2"/>
        <scheme val="minor"/>
      </rPr>
      <t>E. p. leakeyi</t>
    </r>
    <r>
      <rPr>
        <sz val="12"/>
        <color theme="1"/>
        <rFont val="Calibri"/>
        <family val="2"/>
        <scheme val="minor"/>
      </rPr>
      <t>ADI47681</t>
    </r>
  </si>
  <si>
    <r>
      <rPr>
        <i/>
        <sz val="12"/>
        <color theme="1"/>
        <rFont val="Calibri"/>
        <family val="2"/>
        <scheme val="minor"/>
      </rPr>
      <t xml:space="preserve">B. atrox </t>
    </r>
    <r>
      <rPr>
        <sz val="12"/>
        <color theme="1"/>
        <rFont val="Calibri"/>
        <family val="2"/>
        <scheme val="minor"/>
      </rPr>
      <t>C5H5D4</t>
    </r>
  </si>
  <si>
    <r>
      <t xml:space="preserve">55 </t>
    </r>
    <r>
      <rPr>
        <vertAlign val="superscript"/>
        <sz val="12"/>
        <color theme="1"/>
        <rFont val="Calibri"/>
        <family val="2"/>
        <scheme val="minor"/>
      </rPr>
      <t>∎</t>
    </r>
  </si>
  <si>
    <t>5793.4</t>
  </si>
  <si>
    <t>5796.0</t>
  </si>
  <si>
    <t>6393.9</t>
  </si>
  <si>
    <r>
      <t>W. aegyptia</t>
    </r>
    <r>
      <rPr>
        <b/>
        <sz val="12"/>
        <rFont val="Calibri"/>
        <family val="2"/>
        <scheme val="minor"/>
      </rPr>
      <t xml:space="preserve">  C1IC52</t>
    </r>
  </si>
  <si>
    <t>Kunitz inhibitor III</t>
  </si>
  <si>
    <t>6390.0</t>
  </si>
  <si>
    <t>6394.0</t>
  </si>
  <si>
    <r>
      <t xml:space="preserve"> </t>
    </r>
    <r>
      <rPr>
        <b/>
        <i/>
        <sz val="12"/>
        <rFont val="Calibri"/>
        <family val="2"/>
        <scheme val="minor"/>
      </rPr>
      <t>W. aegyptia</t>
    </r>
    <r>
      <rPr>
        <b/>
        <sz val="12"/>
        <rFont val="Calibri"/>
        <family val="2"/>
        <scheme val="minor"/>
      </rPr>
      <t xml:space="preserve"> C1IC46</t>
    </r>
  </si>
  <si>
    <t>13342.4</t>
  </si>
  <si>
    <t>13342.9</t>
  </si>
  <si>
    <t>HLGQFNNMIKCTIPGSTPWWDFSDYGCYCGYGGSGTPVDQLDRCCQTHDNCYTEAQKFSGCSPYRRKYSYECSEGTLTCKSDNDECAAFVCNCDRLAAICFAGAPYNSNNVDIDLEARCQ</t>
  </si>
  <si>
    <t>13335.6</t>
  </si>
  <si>
    <r>
      <rPr>
        <b/>
        <i/>
        <sz val="12"/>
        <color theme="1"/>
        <rFont val="Calibri"/>
        <family val="2"/>
        <scheme val="minor"/>
      </rPr>
      <t xml:space="preserve">W.aegyptia </t>
    </r>
    <r>
      <rPr>
        <b/>
        <sz val="12"/>
        <color theme="1"/>
        <rFont val="Calibri"/>
        <family val="2"/>
        <scheme val="minor"/>
      </rPr>
      <t>C1IC45</t>
    </r>
  </si>
  <si>
    <r>
      <t xml:space="preserve">~ </t>
    </r>
    <r>
      <rPr>
        <sz val="12"/>
        <rFont val="Calibri"/>
        <family val="2"/>
        <scheme val="minor"/>
      </rPr>
      <t>NLP2</t>
    </r>
    <r>
      <rPr>
        <i/>
        <sz val="12"/>
        <rFont val="Calibri"/>
        <family val="2"/>
        <scheme val="minor"/>
      </rPr>
      <t xml:space="preserve"> [Naja atra]</t>
    </r>
  </si>
  <si>
    <t>(258.2)TERGCGCPTVK</t>
  </si>
  <si>
    <t>LLCHNQQSSTSPTTTCCSGGESK</t>
  </si>
  <si>
    <t>KCEEFMoxYGGCK</t>
  </si>
  <si>
    <t>HECHRVCVR</t>
  </si>
  <si>
    <t>GTITERGCGCPTVK</t>
  </si>
  <si>
    <t>FVCHNQQSSQPPTTTNCSGGENK</t>
  </si>
  <si>
    <t>CLEFTYGGCKGNANNFK</t>
  </si>
  <si>
    <t>ITCSAEEKFCYK</t>
  </si>
  <si>
    <t>GCGCPTVK</t>
  </si>
  <si>
    <t>6188.6/6351.7/6618.8</t>
  </si>
  <si>
    <t>6190.0/6357.0/6623.0</t>
  </si>
  <si>
    <t>TIDECHR</t>
  </si>
  <si>
    <t>FMoxYGGCGGNANNFK</t>
  </si>
  <si>
    <t xml:space="preserve"> PLA2</t>
  </si>
  <si>
    <t>13343.6/13375.0</t>
  </si>
  <si>
    <t>13360.0/13375.0/12761.0</t>
  </si>
  <si>
    <t>QYFFETK</t>
  </si>
  <si>
    <t>(201.1)AQVYVDCCAR</t>
  </si>
  <si>
    <t>CXXNBPVEK</t>
  </si>
  <si>
    <t>SKCPASCFCHNK</t>
  </si>
  <si>
    <t>(328.2)AFQFSSCSVQEHR</t>
  </si>
  <si>
    <t>(236.2)CDLPELCTGR</t>
  </si>
  <si>
    <t>NVDFNSESTRR</t>
  </si>
  <si>
    <t>WAVVQDYSQR</t>
  </si>
  <si>
    <t>LPDNLWVEER</t>
  </si>
  <si>
    <t>6864.0</t>
  </si>
  <si>
    <t>FVCHNQQSSQP(PTTTNCSGGENKCYKKRWSTHRGTITERGCGCPTVKKGIELHCCTTDQC)[1.98903]NL</t>
  </si>
  <si>
    <t>6864.08</t>
  </si>
  <si>
    <t>6868.0</t>
  </si>
  <si>
    <t xml:space="preserve"> 3FTx W-IV</t>
  </si>
  <si>
    <t>6672.02</t>
  </si>
  <si>
    <t>LCHNQQSSTSPTTTCCSGGESKCYKKRWPTHRGTITERLGCGCPTVKKGIELHCCTTDQCNL</t>
  </si>
  <si>
    <t>3FTx W-III</t>
  </si>
  <si>
    <t>3FTx  W-IV</t>
  </si>
  <si>
    <t>13335.2</t>
  </si>
  <si>
    <t>LTCVKYYTIFGVTPVDCPDGQNL(CFKRWHMMAPGRYDITRGCAATCPKAENHD)[49.06075]SIECCSTDKCNL</t>
  </si>
  <si>
    <t>7329.1/7395.2</t>
  </si>
  <si>
    <t>7333.0/7399.0</t>
  </si>
  <si>
    <t>12775.30</t>
  </si>
  <si>
    <r>
      <t>13</t>
    </r>
    <r>
      <rPr>
        <vertAlign val="superscript"/>
        <sz val="12"/>
        <color theme="1"/>
        <rFont val="Calibri"/>
        <family val="2"/>
        <scheme val="minor"/>
      </rPr>
      <t>▼</t>
    </r>
  </si>
  <si>
    <r>
      <t>21</t>
    </r>
    <r>
      <rPr>
        <vertAlign val="superscript"/>
        <sz val="12"/>
        <color theme="1"/>
        <rFont val="Calibri"/>
        <family val="2"/>
        <scheme val="minor"/>
      </rPr>
      <t>▼</t>
    </r>
  </si>
  <si>
    <r>
      <rPr>
        <i/>
        <sz val="12"/>
        <color theme="1"/>
        <rFont val="Calibri"/>
        <family val="2"/>
        <scheme val="minor"/>
      </rPr>
      <t xml:space="preserve">W. aegyptia </t>
    </r>
    <r>
      <rPr>
        <sz val="12"/>
        <color theme="1"/>
        <rFont val="Calibri"/>
        <family val="2"/>
        <scheme val="minor"/>
      </rPr>
      <t>C1IC47</t>
    </r>
  </si>
  <si>
    <r>
      <rPr>
        <b/>
        <i/>
        <sz val="12"/>
        <color theme="1"/>
        <rFont val="Calibri"/>
        <family val="2"/>
        <scheme val="minor"/>
      </rPr>
      <t xml:space="preserve">W. aegyptia </t>
    </r>
    <r>
      <rPr>
        <b/>
        <sz val="12"/>
        <color theme="1"/>
        <rFont val="Calibri"/>
        <family val="2"/>
        <scheme val="minor"/>
      </rPr>
      <t>C1IC48</t>
    </r>
  </si>
  <si>
    <r>
      <t>25</t>
    </r>
    <r>
      <rPr>
        <vertAlign val="superscript"/>
        <sz val="12"/>
        <color theme="1"/>
        <rFont val="Calibri"/>
        <family val="2"/>
        <scheme val="minor"/>
      </rPr>
      <t>▼</t>
    </r>
  </si>
  <si>
    <r>
      <rPr>
        <b/>
        <i/>
        <sz val="12"/>
        <color theme="1"/>
        <rFont val="Calibri"/>
        <family val="2"/>
        <scheme val="minor"/>
      </rPr>
      <t xml:space="preserve">W. aegyptia </t>
    </r>
    <r>
      <rPr>
        <b/>
        <sz val="12"/>
        <color theme="1"/>
        <rFont val="Calibri"/>
        <family val="2"/>
        <scheme val="minor"/>
      </rPr>
      <t>C1IC50</t>
    </r>
  </si>
  <si>
    <r>
      <rPr>
        <i/>
        <sz val="12"/>
        <color theme="1"/>
        <rFont val="Calibri"/>
        <family val="2"/>
        <scheme val="minor"/>
      </rPr>
      <t xml:space="preserve">W. aegyptia </t>
    </r>
    <r>
      <rPr>
        <sz val="12"/>
        <color theme="1"/>
        <rFont val="Calibri"/>
        <family val="2"/>
        <scheme val="minor"/>
      </rPr>
      <t>C1IC48</t>
    </r>
  </si>
  <si>
    <r>
      <rPr>
        <i/>
        <sz val="12"/>
        <color theme="1"/>
        <rFont val="Calibri"/>
        <family val="2"/>
        <scheme val="minor"/>
      </rPr>
      <t xml:space="preserve">~W. aegyptia </t>
    </r>
    <r>
      <rPr>
        <sz val="12"/>
        <color theme="1"/>
        <rFont val="Calibri"/>
        <family val="2"/>
        <scheme val="minor"/>
      </rPr>
      <t>C1IC48</t>
    </r>
  </si>
  <si>
    <r>
      <rPr>
        <i/>
        <sz val="12"/>
        <color theme="1"/>
        <rFont val="Calibri"/>
        <family val="2"/>
        <scheme val="minor"/>
      </rPr>
      <t xml:space="preserve">~W. aegyptia </t>
    </r>
    <r>
      <rPr>
        <sz val="12"/>
        <color theme="1"/>
        <rFont val="Calibri"/>
        <family val="2"/>
        <scheme val="minor"/>
      </rPr>
      <t>C1IC47</t>
    </r>
  </si>
  <si>
    <r>
      <rPr>
        <i/>
        <sz val="12"/>
        <color theme="1"/>
        <rFont val="Calibri"/>
        <family val="2"/>
        <scheme val="minor"/>
      </rPr>
      <t xml:space="preserve">W. aegyptia </t>
    </r>
    <r>
      <rPr>
        <sz val="12"/>
        <color theme="1"/>
        <rFont val="Calibri"/>
        <family val="2"/>
        <scheme val="minor"/>
      </rPr>
      <t>C1IC53</t>
    </r>
  </si>
  <si>
    <r>
      <rPr>
        <i/>
        <sz val="12"/>
        <color theme="1"/>
        <rFont val="Calibri"/>
        <family val="2"/>
        <scheme val="minor"/>
      </rPr>
      <t xml:space="preserve">W.aegyptia </t>
    </r>
    <r>
      <rPr>
        <sz val="12"/>
        <color theme="1"/>
        <rFont val="Calibri"/>
        <family val="2"/>
        <scheme val="minor"/>
      </rPr>
      <t>C1IC50</t>
    </r>
  </si>
  <si>
    <r>
      <rPr>
        <i/>
        <sz val="12"/>
        <color theme="1"/>
        <rFont val="Calibri"/>
        <family val="2"/>
        <scheme val="minor"/>
      </rPr>
      <t xml:space="preserve">W. aegyptia </t>
    </r>
    <r>
      <rPr>
        <sz val="12"/>
        <color theme="1"/>
        <rFont val="Calibri"/>
        <family val="2"/>
        <scheme val="minor"/>
      </rPr>
      <t>C0HKZ8</t>
    </r>
  </si>
  <si>
    <r>
      <rPr>
        <i/>
        <sz val="12"/>
        <color theme="1"/>
        <rFont val="Calibri"/>
        <family val="2"/>
        <scheme val="minor"/>
      </rPr>
      <t xml:space="preserve">W. aegyptia </t>
    </r>
    <r>
      <rPr>
        <sz val="12"/>
        <color theme="1"/>
        <rFont val="Calibri"/>
        <family val="2"/>
        <scheme val="minor"/>
      </rPr>
      <t>C1IC50</t>
    </r>
  </si>
  <si>
    <r>
      <rPr>
        <i/>
        <sz val="12"/>
        <color theme="1"/>
        <rFont val="Calibri"/>
        <family val="2"/>
        <scheme val="minor"/>
      </rPr>
      <t xml:space="preserve">W. aegyptia </t>
    </r>
    <r>
      <rPr>
        <sz val="12"/>
        <color theme="1"/>
        <rFont val="Calibri"/>
        <family val="2"/>
        <scheme val="minor"/>
      </rPr>
      <t>C1IC51</t>
    </r>
  </si>
  <si>
    <r>
      <t xml:space="preserve">18 </t>
    </r>
    <r>
      <rPr>
        <vertAlign val="superscript"/>
        <sz val="12"/>
        <color theme="1"/>
        <rFont val="Calibri"/>
        <family val="2"/>
        <scheme val="minor"/>
      </rPr>
      <t>▼</t>
    </r>
  </si>
  <si>
    <r>
      <rPr>
        <i/>
        <sz val="12"/>
        <color theme="1"/>
        <rFont val="Calibri"/>
        <family val="2"/>
        <scheme val="minor"/>
      </rPr>
      <t xml:space="preserve">W. aegyptia </t>
    </r>
    <r>
      <rPr>
        <sz val="12"/>
        <color theme="1"/>
        <rFont val="Calibri"/>
        <family val="2"/>
        <scheme val="minor"/>
      </rPr>
      <t>C1IC51</t>
    </r>
    <r>
      <rPr>
        <sz val="12"/>
        <color theme="1"/>
        <rFont val="Calibri"/>
        <family val="2"/>
        <scheme val="minor"/>
      </rPr>
      <t/>
    </r>
  </si>
  <si>
    <r>
      <rPr>
        <i/>
        <sz val="12"/>
        <color theme="1"/>
        <rFont val="Calibri"/>
        <family val="2"/>
        <scheme val="minor"/>
      </rPr>
      <t xml:space="preserve">W.aegyptia </t>
    </r>
    <r>
      <rPr>
        <sz val="12"/>
        <color theme="1"/>
        <rFont val="Calibri"/>
        <family val="2"/>
        <scheme val="minor"/>
      </rPr>
      <t>C0HKZ8</t>
    </r>
  </si>
  <si>
    <r>
      <rPr>
        <i/>
        <sz val="12"/>
        <color theme="1"/>
        <rFont val="Calibri"/>
        <family val="2"/>
        <scheme val="minor"/>
      </rPr>
      <t xml:space="preserve">W. aegyptia </t>
    </r>
    <r>
      <rPr>
        <sz val="12"/>
        <color theme="1"/>
        <rFont val="Calibri"/>
        <family val="2"/>
        <scheme val="minor"/>
      </rPr>
      <t>C1IC49</t>
    </r>
  </si>
  <si>
    <r>
      <rPr>
        <b/>
        <i/>
        <sz val="12"/>
        <color theme="1"/>
        <rFont val="Calibri"/>
        <family val="2"/>
        <scheme val="minor"/>
      </rPr>
      <t xml:space="preserve">W. aegyptia </t>
    </r>
    <r>
      <rPr>
        <b/>
        <sz val="12"/>
        <color theme="1"/>
        <rFont val="Calibri"/>
        <family val="2"/>
        <scheme val="minor"/>
      </rPr>
      <t>C1IC52</t>
    </r>
  </si>
  <si>
    <r>
      <t xml:space="preserve">31 </t>
    </r>
    <r>
      <rPr>
        <vertAlign val="superscript"/>
        <sz val="12"/>
        <color theme="1"/>
        <rFont val="Calibri"/>
        <family val="2"/>
        <scheme val="minor"/>
      </rPr>
      <t>▼</t>
    </r>
  </si>
  <si>
    <r>
      <rPr>
        <i/>
        <sz val="12"/>
        <color theme="1"/>
        <rFont val="Calibri"/>
        <family val="2"/>
        <scheme val="minor"/>
      </rPr>
      <t>D. vestigiata</t>
    </r>
    <r>
      <rPr>
        <sz val="12"/>
        <color theme="1"/>
        <rFont val="Calibri"/>
        <family val="2"/>
        <scheme val="minor"/>
      </rPr>
      <t xml:space="preserve"> ABK63559</t>
    </r>
  </si>
  <si>
    <r>
      <rPr>
        <i/>
        <sz val="12"/>
        <color theme="1"/>
        <rFont val="Calibri"/>
        <family val="2"/>
        <scheme val="minor"/>
      </rPr>
      <t xml:space="preserve">W. aegyptia </t>
    </r>
    <r>
      <rPr>
        <sz val="12"/>
        <color theme="1"/>
        <rFont val="Calibri"/>
        <family val="2"/>
        <scheme val="minor"/>
      </rPr>
      <t>C1IC52</t>
    </r>
  </si>
  <si>
    <r>
      <t>24</t>
    </r>
    <r>
      <rPr>
        <vertAlign val="superscript"/>
        <sz val="12"/>
        <color theme="1"/>
        <rFont val="Calibri"/>
        <family val="2"/>
        <scheme val="minor"/>
      </rPr>
      <t>▼</t>
    </r>
  </si>
  <si>
    <r>
      <rPr>
        <i/>
        <sz val="12"/>
        <color theme="1"/>
        <rFont val="Calibri"/>
        <family val="2"/>
        <scheme val="minor"/>
      </rPr>
      <t xml:space="preserve">W. aegyptia </t>
    </r>
    <r>
      <rPr>
        <sz val="12"/>
        <color theme="1"/>
        <rFont val="Calibri"/>
        <family val="2"/>
        <scheme val="minor"/>
      </rPr>
      <t>C1IC45</t>
    </r>
  </si>
  <si>
    <r>
      <rPr>
        <i/>
        <sz val="12"/>
        <color theme="1"/>
        <rFont val="Calibri"/>
        <family val="2"/>
        <scheme val="minor"/>
      </rPr>
      <t xml:space="preserve">B. caeruleus </t>
    </r>
    <r>
      <rPr>
        <sz val="12"/>
        <color theme="1"/>
        <rFont val="Calibri"/>
        <family val="2"/>
        <scheme val="minor"/>
      </rPr>
      <t>Q6SLM0</t>
    </r>
  </si>
  <si>
    <r>
      <rPr>
        <i/>
        <sz val="12"/>
        <color theme="1"/>
        <rFont val="Calibri"/>
        <family val="2"/>
        <scheme val="minor"/>
      </rPr>
      <t xml:space="preserve">W. aegyptia </t>
    </r>
    <r>
      <rPr>
        <sz val="12"/>
        <color theme="1"/>
        <rFont val="Calibri"/>
        <family val="2"/>
        <scheme val="minor"/>
      </rPr>
      <t>AEH59581</t>
    </r>
  </si>
  <si>
    <r>
      <rPr>
        <b/>
        <sz val="12"/>
        <color theme="1"/>
        <rFont val="Calibri"/>
        <family val="2"/>
        <scheme val="minor"/>
      </rPr>
      <t>6848.0</t>
    </r>
    <r>
      <rPr>
        <sz val="12"/>
        <color theme="1"/>
        <rFont val="Calibri"/>
        <family val="2"/>
        <scheme val="minor"/>
      </rPr>
      <t>/7516.4</t>
    </r>
  </si>
  <si>
    <r>
      <t>11</t>
    </r>
    <r>
      <rPr>
        <vertAlign val="superscript"/>
        <sz val="12"/>
        <color theme="1"/>
        <rFont val="Calibri"/>
        <family val="2"/>
        <scheme val="minor"/>
      </rPr>
      <t>▼</t>
    </r>
  </si>
  <si>
    <r>
      <rPr>
        <b/>
        <sz val="12"/>
        <color theme="1"/>
        <rFont val="Calibri"/>
        <family val="2"/>
        <scheme val="minor"/>
      </rPr>
      <t>13335.6</t>
    </r>
    <r>
      <rPr>
        <sz val="12"/>
        <color theme="1"/>
        <rFont val="Calibri"/>
        <family val="2"/>
        <scheme val="minor"/>
      </rPr>
      <t>/7257,4</t>
    </r>
  </si>
  <si>
    <r>
      <rPr>
        <b/>
        <sz val="12"/>
        <color theme="1"/>
        <rFont val="Calibri"/>
        <family val="2"/>
        <scheme val="minor"/>
      </rPr>
      <t>13343.0</t>
    </r>
    <r>
      <rPr>
        <sz val="12"/>
        <color theme="1"/>
        <rFont val="Calibri"/>
        <family val="2"/>
        <scheme val="minor"/>
      </rPr>
      <t>/7262.0</t>
    </r>
  </si>
  <si>
    <r>
      <t>13019.0/</t>
    </r>
    <r>
      <rPr>
        <b/>
        <sz val="12"/>
        <color theme="1"/>
        <rFont val="Calibri"/>
        <family val="2"/>
        <scheme val="minor"/>
      </rPr>
      <t>13343.0</t>
    </r>
  </si>
  <si>
    <r>
      <t xml:space="preserve">~ H. haemachatus </t>
    </r>
    <r>
      <rPr>
        <sz val="12"/>
        <color theme="1"/>
        <rFont val="Calibri"/>
        <family val="2"/>
        <scheme val="minor"/>
      </rPr>
      <t>C0HJT5</t>
    </r>
  </si>
  <si>
    <r>
      <t>70</t>
    </r>
    <r>
      <rPr>
        <vertAlign val="superscript"/>
        <sz val="12"/>
        <color theme="1"/>
        <rFont val="Calibri"/>
        <family val="2"/>
        <scheme val="minor"/>
      </rPr>
      <t>▼</t>
    </r>
  </si>
  <si>
    <r>
      <rPr>
        <i/>
        <sz val="12"/>
        <color theme="1"/>
        <rFont val="Calibri"/>
        <family val="2"/>
        <scheme val="minor"/>
      </rPr>
      <t>P. australis</t>
    </r>
    <r>
      <rPr>
        <sz val="12"/>
        <color theme="1"/>
        <rFont val="Calibri"/>
        <family val="2"/>
        <scheme val="minor"/>
      </rPr>
      <t>ABQ01134</t>
    </r>
  </si>
  <si>
    <r>
      <t>58</t>
    </r>
    <r>
      <rPr>
        <vertAlign val="superscript"/>
        <sz val="12"/>
        <color theme="1"/>
        <rFont val="Calibri"/>
        <family val="2"/>
        <scheme val="minor"/>
      </rPr>
      <t>▼</t>
    </r>
  </si>
  <si>
    <r>
      <rPr>
        <i/>
        <sz val="12"/>
        <color theme="1"/>
        <rFont val="Calibri"/>
        <family val="2"/>
        <scheme val="minor"/>
      </rPr>
      <t>~ A. engaddensis</t>
    </r>
    <r>
      <rPr>
        <sz val="12"/>
        <color theme="1"/>
        <rFont val="Calibri"/>
        <family val="2"/>
        <scheme val="minor"/>
      </rPr>
      <t xml:space="preserve"> AAF01040</t>
    </r>
  </si>
  <si>
    <r>
      <t>45</t>
    </r>
    <r>
      <rPr>
        <vertAlign val="superscript"/>
        <sz val="12"/>
        <color theme="1"/>
        <rFont val="Calibri"/>
        <family val="2"/>
        <scheme val="minor"/>
      </rPr>
      <t>▼</t>
    </r>
  </si>
  <si>
    <r>
      <t>36</t>
    </r>
    <r>
      <rPr>
        <vertAlign val="superscript"/>
        <sz val="12"/>
        <color theme="1"/>
        <rFont val="Calibri"/>
        <family val="2"/>
        <scheme val="minor"/>
      </rPr>
      <t>▼</t>
    </r>
  </si>
  <si>
    <r>
      <t xml:space="preserve">O. hannah </t>
    </r>
    <r>
      <rPr>
        <sz val="12"/>
        <color theme="1"/>
        <rFont val="Calibri"/>
        <family val="2"/>
        <scheme val="minor"/>
      </rPr>
      <t>Q7ZT98</t>
    </r>
  </si>
  <si>
    <r>
      <t>32</t>
    </r>
    <r>
      <rPr>
        <vertAlign val="superscript"/>
        <sz val="12"/>
        <color theme="1"/>
        <rFont val="Calibri"/>
        <family val="2"/>
        <scheme val="minor"/>
      </rPr>
      <t>▼</t>
    </r>
  </si>
  <si>
    <r>
      <t>28</t>
    </r>
    <r>
      <rPr>
        <vertAlign val="superscript"/>
        <sz val="12"/>
        <color theme="1"/>
        <rFont val="Calibri"/>
        <family val="2"/>
        <scheme val="minor"/>
      </rPr>
      <t>▼</t>
    </r>
  </si>
  <si>
    <r>
      <t>26</t>
    </r>
    <r>
      <rPr>
        <vertAlign val="superscript"/>
        <sz val="12"/>
        <color theme="1"/>
        <rFont val="Calibri"/>
        <family val="2"/>
        <scheme val="minor"/>
      </rPr>
      <t>▼</t>
    </r>
  </si>
  <si>
    <r>
      <rPr>
        <i/>
        <sz val="12"/>
        <color theme="1"/>
        <rFont val="Calibri"/>
        <family val="2"/>
        <scheme val="minor"/>
      </rPr>
      <t xml:space="preserve">W.aegyptia </t>
    </r>
    <r>
      <rPr>
        <sz val="12"/>
        <color theme="1"/>
        <rFont val="Calibri"/>
        <family val="2"/>
        <scheme val="minor"/>
      </rPr>
      <t>AEH59581</t>
    </r>
  </si>
  <si>
    <r>
      <t xml:space="preserve">N.atra </t>
    </r>
    <r>
      <rPr>
        <sz val="12"/>
        <color theme="1"/>
        <rFont val="Calibri"/>
        <family val="2"/>
        <scheme val="minor"/>
      </rPr>
      <t>Q7T1K6</t>
    </r>
  </si>
  <si>
    <r>
      <rPr>
        <i/>
        <sz val="12"/>
        <color theme="1"/>
        <rFont val="Calibri"/>
        <family val="2"/>
        <scheme val="minor"/>
      </rPr>
      <t>B. atrox</t>
    </r>
    <r>
      <rPr>
        <sz val="12"/>
        <color theme="1"/>
        <rFont val="Calibri"/>
        <family val="2"/>
        <scheme val="minor"/>
      </rPr>
      <t xml:space="preserve"> C5H5D4</t>
    </r>
  </si>
  <si>
    <r>
      <rPr>
        <i/>
        <sz val="12"/>
        <color theme="1"/>
        <rFont val="Calibri"/>
        <family val="2"/>
        <scheme val="minor"/>
      </rPr>
      <t>C.d.durissus</t>
    </r>
    <r>
      <rPr>
        <sz val="12"/>
        <color theme="1"/>
        <rFont val="Calibri"/>
        <family val="2"/>
        <scheme val="minor"/>
      </rPr>
      <t xml:space="preserve"> ABA42116</t>
    </r>
  </si>
  <si>
    <r>
      <rPr>
        <i/>
        <sz val="12"/>
        <color theme="1"/>
        <rFont val="Calibri"/>
        <family val="2"/>
        <scheme val="minor"/>
      </rPr>
      <t>~P. chamissonis</t>
    </r>
    <r>
      <rPr>
        <sz val="12"/>
        <color theme="1"/>
        <rFont val="Calibri"/>
        <family val="2"/>
        <scheme val="minor"/>
      </rPr>
      <t>AJB84503</t>
    </r>
  </si>
  <si>
    <r>
      <rPr>
        <i/>
        <sz val="12"/>
        <color theme="1"/>
        <rFont val="Calibri"/>
        <family val="2"/>
        <scheme val="minor"/>
      </rPr>
      <t>~P. textilis</t>
    </r>
    <r>
      <rPr>
        <sz val="12"/>
        <color theme="1"/>
        <rFont val="Calibri"/>
        <family val="2"/>
        <scheme val="minor"/>
      </rPr>
      <t>XP_026570661</t>
    </r>
  </si>
  <si>
    <r>
      <rPr>
        <i/>
        <sz val="12"/>
        <color theme="1"/>
        <rFont val="Calibri"/>
        <family val="2"/>
        <scheme val="minor"/>
      </rPr>
      <t xml:space="preserve">W.aegyptia </t>
    </r>
    <r>
      <rPr>
        <sz val="12"/>
        <color theme="1"/>
        <rFont val="Calibri"/>
        <family val="2"/>
        <scheme val="minor"/>
      </rPr>
      <t>C1IC45</t>
    </r>
  </si>
  <si>
    <r>
      <t>22</t>
    </r>
    <r>
      <rPr>
        <vertAlign val="superscript"/>
        <sz val="12"/>
        <color theme="1"/>
        <rFont val="Calibri"/>
        <family val="2"/>
        <scheme val="minor"/>
      </rPr>
      <t>▼</t>
    </r>
  </si>
  <si>
    <r>
      <t xml:space="preserve">43 </t>
    </r>
    <r>
      <rPr>
        <vertAlign val="superscript"/>
        <sz val="12"/>
        <color theme="1"/>
        <rFont val="Calibri"/>
        <family val="2"/>
        <scheme val="minor"/>
      </rPr>
      <t>∎</t>
    </r>
  </si>
  <si>
    <r>
      <t xml:space="preserve">24 </t>
    </r>
    <r>
      <rPr>
        <vertAlign val="superscript"/>
        <sz val="12"/>
        <color theme="1"/>
        <rFont val="Calibri"/>
        <family val="2"/>
        <scheme val="minor"/>
      </rPr>
      <t>∎</t>
    </r>
  </si>
  <si>
    <r>
      <t xml:space="preserve">70 </t>
    </r>
    <r>
      <rPr>
        <vertAlign val="superscript"/>
        <sz val="12"/>
        <color theme="1"/>
        <rFont val="Calibri"/>
        <family val="2"/>
        <scheme val="minor"/>
      </rPr>
      <t>∎</t>
    </r>
  </si>
  <si>
    <r>
      <rPr>
        <i/>
        <sz val="12"/>
        <color theme="1"/>
        <rFont val="Calibri"/>
        <family val="2"/>
        <scheme val="minor"/>
      </rPr>
      <t xml:space="preserve">~N. scutatus </t>
    </r>
    <r>
      <rPr>
        <sz val="12"/>
        <color theme="1"/>
        <rFont val="Calibri"/>
        <family val="2"/>
        <scheme val="minor"/>
      </rPr>
      <t>XP_026536946</t>
    </r>
  </si>
  <si>
    <r>
      <rPr>
        <i/>
        <sz val="12"/>
        <color theme="1"/>
        <rFont val="Calibri"/>
        <family val="2"/>
        <scheme val="minor"/>
      </rPr>
      <t xml:space="preserve">~ N. atra </t>
    </r>
    <r>
      <rPr>
        <sz val="12"/>
        <color theme="1"/>
        <rFont val="Calibri"/>
        <family val="2"/>
        <scheme val="minor"/>
      </rPr>
      <t>D3TTC2</t>
    </r>
  </si>
  <si>
    <r>
      <rPr>
        <i/>
        <sz val="12"/>
        <color theme="1"/>
        <rFont val="Calibri"/>
        <family val="2"/>
        <scheme val="minor"/>
      </rPr>
      <t>~P. textilis</t>
    </r>
    <r>
      <rPr>
        <sz val="12"/>
        <color theme="1"/>
        <rFont val="Calibri"/>
        <family val="2"/>
        <scheme val="minor"/>
      </rPr>
      <t xml:space="preserve"> XP_026570661</t>
    </r>
  </si>
  <si>
    <r>
      <rPr>
        <i/>
        <sz val="12"/>
        <color theme="1"/>
        <rFont val="Calibri"/>
        <family val="2"/>
        <scheme val="minor"/>
      </rPr>
      <t>M. lebetina</t>
    </r>
    <r>
      <rPr>
        <sz val="12"/>
        <color theme="1"/>
        <rFont val="Calibri"/>
        <family val="2"/>
        <scheme val="minor"/>
      </rPr>
      <t xml:space="preserve"> AHJ80885</t>
    </r>
  </si>
  <si>
    <r>
      <rPr>
        <i/>
        <sz val="12"/>
        <color theme="1"/>
        <rFont val="Calibri"/>
        <family val="2"/>
        <scheme val="minor"/>
      </rPr>
      <t>T. sirtalis</t>
    </r>
    <r>
      <rPr>
        <sz val="12"/>
        <color theme="1"/>
        <rFont val="Calibri"/>
        <family val="2"/>
        <scheme val="minor"/>
      </rPr>
      <t xml:space="preserve"> XP_013908397</t>
    </r>
  </si>
  <si>
    <r>
      <t>64</t>
    </r>
    <r>
      <rPr>
        <vertAlign val="superscript"/>
        <sz val="12"/>
        <color theme="1"/>
        <rFont val="Calibri"/>
        <family val="2"/>
        <scheme val="minor"/>
      </rPr>
      <t>▼</t>
    </r>
  </si>
  <si>
    <r>
      <rPr>
        <i/>
        <sz val="12"/>
        <color theme="1"/>
        <rFont val="Calibri"/>
        <family val="2"/>
        <scheme val="minor"/>
      </rPr>
      <t xml:space="preserve">N. atra </t>
    </r>
    <r>
      <rPr>
        <sz val="12"/>
        <color theme="1"/>
        <rFont val="Calibri"/>
        <family val="2"/>
        <scheme val="minor"/>
      </rPr>
      <t>A8QL58</t>
    </r>
  </si>
  <si>
    <r>
      <t xml:space="preserve">50 </t>
    </r>
    <r>
      <rPr>
        <vertAlign val="superscript"/>
        <sz val="12"/>
        <color theme="1"/>
        <rFont val="Calibri"/>
        <family val="2"/>
        <scheme val="minor"/>
      </rPr>
      <t>∎</t>
    </r>
  </si>
  <si>
    <t>12767.02</t>
  </si>
  <si>
    <t>12773.02</t>
  </si>
  <si>
    <t>12767.12</t>
  </si>
  <si>
    <t>NGF</t>
  </si>
  <si>
    <t>AEH5981</t>
  </si>
  <si>
    <t>HNLGEYSVCDHISAWVTKTTATDIKGNTVIVMEDVNLNNEVYKQYFFETKCRNPNPEPSGCKGIDSSHWNSYCTETDTFVKALTMEGNQASWRFIRINTSCVCVISRKTENF</t>
  </si>
  <si>
    <r>
      <rPr>
        <b/>
        <sz val="12"/>
        <color theme="1"/>
        <rFont val="Calibri"/>
        <family val="2"/>
        <scheme val="minor"/>
      </rPr>
      <t>6852.3</t>
    </r>
    <r>
      <rPr>
        <sz val="12"/>
        <color theme="1"/>
        <rFont val="Calibri"/>
        <family val="2"/>
        <scheme val="minor"/>
      </rPr>
      <t>/7521.0</t>
    </r>
  </si>
  <si>
    <t>RP-HPLC/ SDS-PAGE proteome decomplexation</t>
  </si>
  <si>
    <t>3FTX</t>
  </si>
  <si>
    <t>6663.01</t>
  </si>
  <si>
    <t>6662.9</t>
  </si>
  <si>
    <t>6666.7</t>
  </si>
  <si>
    <r>
      <t>6342.0</t>
    </r>
    <r>
      <rPr>
        <sz val="12"/>
        <color theme="1"/>
        <rFont val="Calibri"/>
        <family val="2"/>
        <scheme val="minor"/>
      </rPr>
      <t>/</t>
    </r>
    <r>
      <rPr>
        <b/>
        <sz val="12"/>
        <color theme="1"/>
        <rFont val="Calibri"/>
        <family val="2"/>
        <scheme val="minor"/>
      </rPr>
      <t>6662.0</t>
    </r>
  </si>
  <si>
    <r>
      <t>6347.0</t>
    </r>
    <r>
      <rPr>
        <sz val="12"/>
        <color theme="1"/>
        <rFont val="Calibri"/>
        <family val="2"/>
        <scheme val="minor"/>
      </rPr>
      <t>/</t>
    </r>
    <r>
      <rPr>
        <b/>
        <sz val="12"/>
        <color theme="1"/>
        <rFont val="Calibri"/>
        <family val="2"/>
        <scheme val="minor"/>
      </rPr>
      <t>6666.1</t>
    </r>
  </si>
  <si>
    <t>6606.0</t>
  </si>
  <si>
    <r>
      <rPr>
        <i/>
        <sz val="12"/>
        <color theme="1"/>
        <rFont val="Calibri"/>
        <family val="2"/>
        <scheme val="minor"/>
      </rPr>
      <t xml:space="preserve">W.aegyptia </t>
    </r>
    <r>
      <rPr>
        <sz val="12"/>
        <color theme="1"/>
        <rFont val="Calibri"/>
        <family val="2"/>
        <scheme val="minor"/>
      </rPr>
      <t>C1IC51/C1IC52</t>
    </r>
  </si>
  <si>
    <t>7329.2</t>
  </si>
  <si>
    <t>7333.3</t>
  </si>
  <si>
    <t>ACTI</t>
  </si>
  <si>
    <t>C0HKZ8</t>
  </si>
  <si>
    <t>MECYKCGVSGCHLKITCSAEEKFCYKWRDKISNERWLGCAKTCTEENTWRVYNSCCTTNLCN(P)[4.2452]</t>
  </si>
  <si>
    <t>FMYGGCKGNKNNFK</t>
  </si>
  <si>
    <t>P.GLCELPAETGPCKARIRAFYYNPHSHKCLEFTYGGCKGNANNFKTIDECNRTCVG.</t>
  </si>
  <si>
    <t>GLCELPAETGPCKARIRAFYYNPHSHKCLEFTYGGCKGNANNFKTIDECNRTCVG</t>
  </si>
  <si>
    <t>Feature intensity</t>
  </si>
  <si>
    <t>% abundance</t>
  </si>
  <si>
    <t>3FTX_W.aegyptia_T1024_T3273_Complete 3FTX_W.aegyptia_T1024_T3273_Complete</t>
  </si>
  <si>
    <t>sp|P60773.1|3S11_NAJPH RecName: Full=Short neurotoxin 1; Short=NTX I</t>
  </si>
  <si>
    <t>pdb|1G6M|A Chain A, Nmr Solution Structure Of Cbt2</t>
  </si>
  <si>
    <t>AAB25735.1 neurotoxin, NTX [Naja naja=Formosan cobra, ssp. atra, venom, Peptide, 62 aa]</t>
  </si>
  <si>
    <t>T.FVCHNQQSSQPPTT(TNCSGGENKCYKKRWST)[43.99544]HRGTITERGCGCPTVKKGIELHCCTTDQCNL.</t>
  </si>
  <si>
    <t>sp|P01423.1|3S12_NAJNI RecName: Full=Short neurotoxin 2; AltName: Full=Neurotoxin beta</t>
  </si>
  <si>
    <t>3FTX_N.nivea_T0632_Complete 3FTX_N.nivea_T0632_Complete</t>
  </si>
  <si>
    <t>AAD09180.1 cobrotoxin III, partial [Naja atra]</t>
  </si>
  <si>
    <t>Kunitz_N.haje_T2474_Partial Kunitz_N.haje_T2474_Partial</t>
  </si>
  <si>
    <t>3FTX_N.nivea_T0879_Complete 3FTX_N.nivea_T0879_Complete</t>
  </si>
  <si>
    <t>AAD09179.1 cobrotoxin IV, partial [Naja atra]</t>
  </si>
  <si>
    <t>sp|P01415.1|3SO62_NAJHH RecName: Full=Weak toxin CM-2</t>
  </si>
  <si>
    <t>ADN67573.1 three-finger toxin precursor [Naja atra]</t>
  </si>
  <si>
    <t>pdb|1ONJ|A Chain A, Crystal Structure Of Atratoxin-b From Chinese Cobra Venom Of Naja Atra</t>
  </si>
  <si>
    <t>3FTX_N.atra_T0325_Complete 3FTX_N.atra_T0325_Complete</t>
  </si>
  <si>
    <t>3FTX_N.siamensis_T1064_Complete 3FTX_N.siamensis_T1064_Complete</t>
  </si>
  <si>
    <t>Kunitz_N.annulifera_T0981_T0974_Partial Kunitz_N.annulifera_T0981_T0974_Partial</t>
  </si>
  <si>
    <t>L.GGPKYCHLPADPGPCSNYRPAYYYNPASRKCEEFMYGGCKGNKNNFKTRHECHRVCVR.</t>
  </si>
  <si>
    <t>sp|P01424.1|3S11_NAJME RecName: Full=Short neurotoxin 1; AltName: Full=Neurotoxin D</t>
  </si>
  <si>
    <t>G.LGGPKYCHLPADPGPCSNYRPAYYYNPASRKCEEFMYGGCKGNKNNFKTRHECHRVCVR.</t>
  </si>
  <si>
    <t>3FTX_N.siamensis_T2648_T0116_Partial 3FTX_N.siamensis_T2648_T0116_Partial</t>
  </si>
  <si>
    <t>3FTX_N.atra_T0611_Complete 3FTX_N.atra_T0611_Complete</t>
  </si>
  <si>
    <t>Kunitz_N.melanoleuca.VG_T0517_Complete Kunitz_N.melanoleuca.VG_T0517_Complete</t>
  </si>
  <si>
    <t>Kunitz_N.mossambica.VG_T2744_Partial Kunitz_N.mossambica.VG_T2744_Partial</t>
  </si>
  <si>
    <t>Kunitz_N.nigricollis.TZA_T0977_Partial Kunitz_N.nigricollis.TZA_T0977_Partial</t>
  </si>
  <si>
    <t>G.RPGLCELPAETGPCKARIRAFYYNPHSHKCLEFTYGGCKGNANNFKTIDECNRTCVG.</t>
  </si>
  <si>
    <t>3FTX_N.naja_T2679_Partial 3FTX_N.naja_T2679_Partial</t>
  </si>
  <si>
    <t>sp|P25679.2|3NO29_NAJKA RecName: Full=Weak toxin CM-9a</t>
  </si>
  <si>
    <t>AAB19289.1 miscellaneous type neurotoxin [Naja naja=cobra, ssp. naja, Peptide, 65 aa]</t>
  </si>
  <si>
    <t>3FTX_N.melanoleuca.VG_T4313_T6039 _Complete</t>
  </si>
  <si>
    <t>sp|P29181.1|3NO27_NAJNA RecName: Full=Weak neurotoxin 7</t>
  </si>
  <si>
    <t>3FTX_W.aegyptia_T2393_Complete 3FTX_W.aegyptia_T2393_Complete</t>
  </si>
  <si>
    <t>sp|P01400.1|3NO2B_NAJME RecName: Full=Weak toxin S4C11</t>
  </si>
  <si>
    <t>sp|P29180.1|3NO26_NAJNA RecName: Full=Weak neurotoxin 6</t>
  </si>
  <si>
    <t>sp|P29179.1|3NO25_NAJNA RecName: Full=Weak neurotoxin 5</t>
  </si>
  <si>
    <t>3FTX_N.melanoleuca.VG_T4455 _Partial</t>
  </si>
  <si>
    <t>sp|P34076.1|3S11_NAJCH RecName: Full=Short neurotoxin 1</t>
  </si>
  <si>
    <t>3FTX_N.mossambica.VG_T1107_Complete 3FTX_N.mossambica.VG_T1107_Complete</t>
  </si>
  <si>
    <t>ADN67586.1 three-finger toxin precursor, partial [Naja atra]</t>
  </si>
  <si>
    <t>3FTX_N.nigricollis.Nigeria_T1493_Partial 3FTX_N.nigricollis.Nigeria_T1493_Partial</t>
  </si>
  <si>
    <t>3FTX_N.nubiae_T1547_Partial 3FTX_N.nubiae_T1547_Partial</t>
  </si>
  <si>
    <t>3FTX_N.pallida_T0906_Partial 3FTX_N.pallida_T0906_Partial</t>
  </si>
  <si>
    <t>3FTX_N.nivea_T0896_Partial 3FTX_N.nivea_T0896_Partial</t>
  </si>
  <si>
    <t>3FTX_N.annulifera_T0532_Complete 3FTX_N.annulifera_T0532_Complete</t>
  </si>
  <si>
    <t>3FTX_N.kaouthia_T2210_Partial 3FTX_N.kaouthia_T2210_Partial</t>
  </si>
  <si>
    <t>3FTX_N.nigricollis.Nigeria_T0126_Partial 3FTX_N.nigricollis.Nigeria_T0126_Partial</t>
  </si>
  <si>
    <t>L.HLGQFNNMIKCTIPGSTPWWDFSDYGCYCGYG(GSGTPVDQLDRCCQTHDNCYTEAQKFSGCSPYTRKYSYECSEGTLTCKSDNDECAAFVCNCDRSAAICFARAPYNSNNVDIDLEAHCQ)[24.05230].</t>
  </si>
  <si>
    <t>NGF_W.aegyptia_T0231_Complete NGF_W.aegyptia_T0231_Complete</t>
  </si>
  <si>
    <t>Observed SS-bridges</t>
  </si>
  <si>
    <t>Native
M(mono)</t>
  </si>
  <si>
    <t>reduced
M(mono)</t>
  </si>
  <si>
    <t>ID</t>
  </si>
  <si>
    <t>Name</t>
  </si>
  <si>
    <t>Sequence</t>
  </si>
  <si>
    <t>ABX82864</t>
  </si>
  <si>
    <t>T.FVCHNQQSSQPPTTTNCSGGENKCYKKQWSDHRGSITERGCGCPTVKKGIKLHCCTTEKCNN.</t>
  </si>
  <si>
    <t>ABX82866</t>
  </si>
  <si>
    <t>.LTCLICPKKYCNQVHTCRNGENLCIKTFYEGNLLGKQFKRGCAATCPEARPREIVECCSRDKCNH.</t>
  </si>
  <si>
    <t>G.RPRLCELPAESGLCNAYIPSFYYNPHSHKCQKFMYGGCGGNANNFKTIDECHRTCVG.</t>
  </si>
  <si>
    <t>-</t>
  </si>
  <si>
    <t>T.(RLCLS)[14.0135]DYSIFSETIEICPDGHNFCFKKFPKGITRLPWVIRGCAAT(CPKAE)[-40.0788]ARVYVDCCARDKCNR.</t>
  </si>
  <si>
    <t>ABX82862</t>
  </si>
  <si>
    <t>.HLGQFNNMIKCTIPGSTPWWDFSDYGCYCGYGGSGTPVDQLDRCCQTHDNCYTEAQKFSGCSPYRRKYSYECSEGTLTCKSDNDECAAFVCNCDRLAAICFAGAPYNSNNVDIDLEARCQ.</t>
  </si>
  <si>
    <t>.HLGQFNNMIKCTIPGSTPWWDFSDYGCYCGYGGSGTPVDQLDRCCQTHDNCYTEAQKFSGCSPYRRKYSYECS(EGTLTCKSDNDECAAFVCNCDRLA)[1.9819]AICFAGAPYNSNNVDIDLEARCQ.</t>
  </si>
  <si>
    <t>.EDHPVHNLGEYSVCDHISAWVTKTTATDIKGNTVIVMEDVNLNNEVYKQYFFETKCRNPNPEPSGCKGIDSSHWNSYCTETDTFVKALTMEGNQASWRFIRINTACVCVISRKTENF.</t>
  </si>
  <si>
    <t>Q9W717</t>
  </si>
  <si>
    <t>ABX82870</t>
  </si>
  <si>
    <t>ABX82867</t>
  </si>
  <si>
    <t>ABX82869</t>
  </si>
  <si>
    <t>NTL2 OS=Naja atra</t>
  </si>
  <si>
    <t>.HLGQFNNMIKCTIPGSTPWWDFSDYGCYCGYGGSGTPVDQLDRCCQTHDNCYTEAQKFSGCSPYRRKYSYECSEGTLTCKSDNDECAAFVCNCDRLAAICFA(GA)[2.0162]PYNSNNVDIDLEARCQ.</t>
  </si>
  <si>
    <t>.FVCHNQQSSQPPTTTNCSGGENKCYKKQWSDHRGSITERGCGCPTVKKGIKLHCCTTEKCNN.</t>
  </si>
  <si>
    <t>NTL2 OS=Naja atra OX=8656 PE=3 SV=1</t>
  </si>
  <si>
    <t>Sample decomplexation and ESI-QToF mass profiling</t>
  </si>
  <si>
    <t>Relative quantification</t>
  </si>
  <si>
    <t xml:space="preserve">Absolute quantification </t>
  </si>
  <si>
    <t>Sulfur atoms/molecule</t>
  </si>
  <si>
    <t>Proteome composition calculations</t>
  </si>
  <si>
    <t>HPLC fraction</t>
  </si>
  <si>
    <t>Closest homologue</t>
  </si>
  <si>
    <t>MW (Da)</t>
  </si>
  <si>
    <t>Intensity (cps)</t>
  </si>
  <si>
    <t>% of total cps</t>
  </si>
  <si>
    <t>% of peak intensity</t>
  </si>
  <si>
    <t>individual ID</t>
  </si>
  <si>
    <t>[nº CYS]</t>
  </si>
  <si>
    <t>[nº MET]</t>
  </si>
  <si>
    <t>mgToxin/gV</t>
  </si>
  <si>
    <t xml:space="preserve"> C1IC53</t>
  </si>
  <si>
    <t>KUN Inh4</t>
  </si>
  <si>
    <t>W. aegyptia</t>
  </si>
  <si>
    <t>C1IC47</t>
  </si>
  <si>
    <t>FVCHNQQSSQP(PTTTNCSGGENKCYKKRWSTHRGTITERGCGCPTVKKGIELHCCTTDQC)[1.98903]NL.</t>
  </si>
  <si>
    <t>FVCHNQQSSQPPT(TTNCSGGENKCYKKRWSTHRGTITERGCGCPTVKKGIELHCCTTDQCNL)[18.97861].</t>
  </si>
  <si>
    <t>FVCHNQQSSQPPTT(TNCSGGENKCYKKRWST)[43.99544]HRGTITERGCGCPTVKKGIELHCCTTDQCNL.</t>
  </si>
  <si>
    <t>(ISGLGGPKYCHLPADPGPCSNYRPAYYYNPASRKCEEFMYGGCKGNKNNFKTRHECHRVCVR)[ - 22.26]</t>
  </si>
  <si>
    <t xml:space="preserve"> P60770</t>
  </si>
  <si>
    <t>Atratoxin</t>
  </si>
  <si>
    <t>N. atra</t>
  </si>
  <si>
    <t>LECHNQQSSQTPTT(TGCSGGETNCYKKRWRDHRGYRTERGCGCPSVKN)[-55.94812]GIEINCCTTDRCNN</t>
  </si>
  <si>
    <t>GGPKYCHLPADPGPCSNYRPAYYYNPASRKCEEF(M-ox)YGGCKGNKNNFKTRHECHRVCVR</t>
  </si>
  <si>
    <t>(ISGLGGPKYCHLPADPGPCSNYRPAYYYNPASRKCEEFMYGGCKGNKNNFKTRHECHRVCVR)[ + 50.16]</t>
  </si>
  <si>
    <t xml:space="preserve"> C1IC46</t>
  </si>
  <si>
    <t xml:space="preserve">svPLA2 PL-I </t>
  </si>
  <si>
    <t>HLGQFNNMIKCTI(PGSTPWWDFSDYGCYCGYGGSGTPVDQLDRCCQTHDNCYTEAQKFSGCSPYTRKYSYECSEGTLTCKSDNDECAAFVCNCDRSAAICFARAPYNSNNVD)[214.10138]IDLEAHCQ</t>
  </si>
  <si>
    <t>HLGQFNNMIKCTI(PGSTPWWDFSDYGCYCGYGGSGTPVDQLDRCCQTHDNCYTEAQKFSGCSPYTRKYSYECSEGTLTCKSDNDECAAFVCNCDRSAAICFARAPYNSNNVD)[176.08138]IDLEAHCQ.</t>
  </si>
  <si>
    <t>HLGQFNNMIKCTI(PGSTPWWDFSDYGCYCGYGGSGTPVDQLDRCCQTHDNCYTEAQKFSGCSPYTRKYSYECSEGTLTCKSDNDECAAFVCNCDRSAAICFARAPYNSNNVD)[227.9138]IDLEAHCQ</t>
  </si>
  <si>
    <t xml:space="preserve">(ISGLGGPKYCHLPADPGPCSNYRPAYYYNPASRKCEEFMYGGCKGNKNNFKTRHECHRVCVR)[ +129.1014] </t>
  </si>
  <si>
    <t xml:space="preserve">(ISGLGGPKYCHLPADPGPCSNYRPAYYYNPASRKCEEFMYGGCKGNKNNFKTRHECHRVCVR)[ +159.1314] </t>
  </si>
  <si>
    <t>(3FTX)</t>
  </si>
  <si>
    <t>&lt; LOD</t>
  </si>
  <si>
    <t>GGPKYCHLPADPG(PCSNYRPAYY)[+17.9677]YNPASRKCEEFMYGGCKGNKNNFKTRHECHRVCVR</t>
  </si>
  <si>
    <t>P29180</t>
  </si>
  <si>
    <t>Weak NTX 6</t>
  </si>
  <si>
    <t>N. naja</t>
  </si>
  <si>
    <t>LTCLICPEKYCNKVHTCLNGE(KICFKRYSERKLLGKRYIRGCAD)[-161.17631]TCPVRKPREIVQCCSTDKCNH</t>
  </si>
  <si>
    <t xml:space="preserve"> P82463</t>
  </si>
  <si>
    <t xml:space="preserve">MTLP-2 </t>
  </si>
  <si>
    <t>N. kaouthia</t>
  </si>
  <si>
    <t>LTCVKYYTIFGVTPVDC(PDGQNLCFKRWHMMAPGRYDITRGCAATCPKAENHDSIK)[83.02069]CCSTDKCNL</t>
  </si>
  <si>
    <t>O93422</t>
  </si>
  <si>
    <t>Kappa cobrotoxin</t>
  </si>
  <si>
    <t>LTCLICPEKYCNKVHTCLNGEKICFKKYDQRKL(LGKRYIRGCADTCPVRKPREIVECCSTDKCNH)[-158.17235]</t>
  </si>
  <si>
    <t xml:space="preserve"> C1IC50</t>
  </si>
  <si>
    <t>Kln-I</t>
  </si>
  <si>
    <t>GGPKYCHLPADPG(PCSNYRPAYY)[-27.95775]YNPASRKCEEFMYGGCKGNKNNFKTRHECHRVCVR</t>
  </si>
  <si>
    <t>GGPKYCHLPADPG(PCSNYRPAYY)[-10.92377]YNPASRKCEEFMYGGCKGNKNNFKTRHECHRVCVR</t>
  </si>
  <si>
    <t>TRLCLSDYSIFSETI(EICPDGHNFCFKKFPKGI)[-99.02225]TRLPWVIRGCAATCPKAEAQVYVDCCARDKCNR</t>
  </si>
  <si>
    <t>RPGLCELPAETGPCKARIRAFYYNPHSHKCLEFTYGGCKGNANNFKTIDECNRTCVG [+51.9]</t>
  </si>
  <si>
    <t>RPGLCELPAETGPCKARIRAFYYNPHSHKCLEFTYGGCKGNANNFKTIDECNRTCVG [+103.93]</t>
  </si>
  <si>
    <t>GGPKYCHLPADPG(PCSNYRPAYY)[-27.01377]YNPASRKCEEFMYGGCKGNKNNFKTRHECHRVCVR</t>
  </si>
  <si>
    <t xml:space="preserve"> P80958</t>
  </si>
  <si>
    <t>cobrotoxin b</t>
  </si>
  <si>
    <t>TLECHNQQSSQAPTTKTCSGETNCYKKWWSDHRGTIIERGCGCPKVKPGVNLNCCTTDRCN [-24.03]</t>
  </si>
  <si>
    <t>N. kaouthis</t>
  </si>
  <si>
    <t>ABX82863</t>
  </si>
  <si>
    <t>PLA2-I</t>
  </si>
  <si>
    <t>HLGQFNNMIKCTIPGSTPWWDFSDYGCYCGYGGSGTPVDQLDRCCQTHDNCYTEAQKFSGCSPYTRKYSYECSEGTLTCKSDNDECAAFVCNCDRSAAICFARAPYNSNNVDIDLEAHCQ [-16]</t>
  </si>
  <si>
    <t xml:space="preserve">ABX82862 </t>
  </si>
  <si>
    <t>PLA2-II</t>
  </si>
  <si>
    <t>HLGQFNNMIKCTIPGSTPWWDFSDYGCYCGYGGSGTPVDQLDRCCQTHDNCYTEAQKFSGCSPYTRKYSYECSEGTLTCKSDNDECAAFVCNCDRSAAICFARAPYNSNNVDIDLEAHCQ [-17]</t>
  </si>
  <si>
    <t>HLGQFNNMIKCTIPGSTPWWDFSDYGCYCGYGGSGTPVDQLDRCCQTHDNCYTEAQKFSGCSPYTRKYSYECSEGTLTCKSDNDECAAFVCNCDRSAAICFARAPYNSNNVDIDLEAHCQ [+55]</t>
  </si>
  <si>
    <t>svNGF</t>
  </si>
  <si>
    <t>venom NGF</t>
  </si>
  <si>
    <t>HLGQFNNMIKCTIPGSTPWWDFSDYGCYCGYGGSGTPVDQLDRCCQTHDNCYTEAQKFSGCSPYTRKYSYECSEGTLTCKSDNDECAAFVCNCDRSAAICFARAPYNSNNVDIDLEAHCQ [-25]</t>
  </si>
  <si>
    <t>HLGQFNNMIKCTIPGSTPWW(D)[+28.07072]FSDYGCYCGYGGSGTPVDQLDRCCQTHDNCYTEAQKFSGCSPYTRKYSYECSEGTLTCKSDNDECAAFVCNCDRSAAICFARAPYNSNNVDIDLEAHCQ</t>
  </si>
  <si>
    <t>Q7ZT98</t>
  </si>
  <si>
    <t>ophanin</t>
  </si>
  <si>
    <t>O. hannah</t>
  </si>
  <si>
    <r>
      <t>CRISP [</t>
    </r>
    <r>
      <rPr>
        <i/>
        <sz val="12"/>
        <color theme="1"/>
        <rFont val="Calibri"/>
        <family val="2"/>
        <scheme val="minor"/>
      </rPr>
      <t>O. hannah</t>
    </r>
    <r>
      <rPr>
        <sz val="12"/>
        <color theme="1"/>
        <rFont val="Calibri"/>
        <family val="2"/>
        <scheme val="minor"/>
      </rPr>
      <t xml:space="preserve"> Q7ZT98/</t>
    </r>
    <r>
      <rPr>
        <i/>
        <sz val="12"/>
        <color theme="1"/>
        <rFont val="Calibri"/>
        <family val="2"/>
        <scheme val="minor"/>
      </rPr>
      <t>N. atra</t>
    </r>
    <r>
      <rPr>
        <sz val="12"/>
        <color theme="1"/>
        <rFont val="Calibri"/>
        <family val="2"/>
        <scheme val="minor"/>
      </rPr>
      <t xml:space="preserve"> Q7T1K6/</t>
    </r>
    <r>
      <rPr>
        <i/>
        <sz val="12"/>
        <color theme="1"/>
        <rFont val="Calibri"/>
        <family val="2"/>
        <scheme val="minor"/>
      </rPr>
      <t>N. annulifera</t>
    </r>
    <r>
      <rPr>
        <sz val="12"/>
        <color theme="1"/>
        <rFont val="Calibri"/>
        <family val="2"/>
        <scheme val="minor"/>
      </rPr>
      <t xml:space="preserve"> P0DL15]  (from bottom-up MS/MS analysis)</t>
    </r>
  </si>
  <si>
    <t>HPLC peak</t>
  </si>
  <si>
    <t>nº S</t>
  </si>
  <si>
    <t>FVCHNQQSSQPPTT(TNCSGGENKCYKKRWST)[43.99544]HRGTITERGCGCPTVKKGIELHCCTTDQCNL</t>
  </si>
  <si>
    <t>FVCHNQQSSQPPTT(TNCSGGENKCYKKRWST)[39.99544]HRGTITERGCGCPTVKKGIELHCCTTDQCNL.</t>
  </si>
  <si>
    <t>FVCHNQQSSQPPTT(TNCSGGENKCYKKRWST)[82.99544]HRGTITERGCGCPTVKKGIELHCCTTDQCNL</t>
  </si>
  <si>
    <t>(ISGLGGPKYCHLPADPGPCSNYRPAYYYNPASRKCEEFMYGGCKGNKNNFKTRHECHRVCVR)[ +42.26]</t>
  </si>
  <si>
    <t>(ISGLGGPKYCHLPADPGPCSNYRPAYYYNPASRKCEEFMYGGCKGNKNNFKTRHECHRVCVR)[ +150.1314] + Met-ox]</t>
  </si>
  <si>
    <t>HLGQFNNMIKCTI(PGSTPWWDFSDYGCYCGYGGSGTPVDQLDRCCQTHDNCYTEAQKFSGCSPYTRKYSYECSEGTLTCKSDNDECAAFVCNCDRSAAICFARAPYNSNNVD)[176.08138]IDLEAHCQ [Met-ox].</t>
  </si>
  <si>
    <t>(ISGLGGPKYCHLPADPGPCSNYRPAYYYNPASRKCEEFMYGGCKGNKNNFKTRHECHRVCVR)[ +150.1314]]</t>
  </si>
  <si>
    <t>TCLICPEK(Y)[33.93380]CNKVHTCLNGEKICFKKYDQRKLLGKRYIRGCADTCPVRKPREIVECCSTDKCNH</t>
  </si>
  <si>
    <t>(KUN)</t>
  </si>
  <si>
    <t>TCLICPEK(Y)[34.93380]CNKVHTCLNGEKICFKKYDQRKLLGKRYIRGCADTCPVRKPREIVECCSTDKCNH</t>
  </si>
  <si>
    <t>P82463</t>
  </si>
  <si>
    <t>LTCLICPEKYCNKVHTCLNGEKICFKKYDQRKL(LGKRYIRGCADTCPVRKPREIVECCSTDKCNH)[-81.17235]</t>
  </si>
  <si>
    <t>LTCVKYYTIFGVTPVDC(PDGQNLCFKRWHMMAPGRYDITRGCAATCPKAENHDSIK)[104.02069]CCSTDKCNL</t>
  </si>
  <si>
    <t xml:space="preserve">RPGLCELPAETGPCKARIRAFYYNPHSHKCLEFTYGGCKGNANNFKTIDECNRTCVG [+27.21] </t>
  </si>
  <si>
    <t>LTCLICPEKYCNKVHTCLNGEKICFKKYDQRKL(LGKRYIRGCADTCPVRKPREIVECCSTDKCNH)[-153.17235]</t>
  </si>
  <si>
    <t>LTCLICPEKYCNKVHTCLNGEKICFKKYDQRKL(LGKRYIRGCADTCPVRKPREIVECCSTDKCNH)[-106.17215]</t>
  </si>
  <si>
    <t>TCLICPEK(Y)[31.93380]CNKVHTCLNGEKICFKKYDQRKLLGKRYIRGCADTCPVRKPREIVECCSTDKCNH.</t>
  </si>
  <si>
    <t>RPGLCELPAETGPCKARIRAFYYNPHSHKCLEFTYGGCKGNANNFKTIDECNRTCVG [+89.93]</t>
  </si>
  <si>
    <t>P80958</t>
  </si>
  <si>
    <t>HLGQFNNMIKCTIPGSTPWW(D)[+28.07072]FSDYGCYCGYGGSGTPVDQLDRCCQTHDNCYTEAQKFSGCSPYTRKYSYECSEGTLTCKSDNDECAAFVCNCDRSAAICFARAPYNSNNVDIDLEAHCQ [+12]</t>
  </si>
  <si>
    <t>VHNLGEYSVCDHISAWVTKTTATDIKGNTVIVMEDVNLNNEVYKQYFFETKCRNPNPEPSGCKGIDSSHWNSYCTETDTFVKALTMEGNQASWRFIRINT(SCVCVI)[-15.98624]SRKTEN</t>
  </si>
  <si>
    <t>(ISGLGGPKYCHLPADPGPCSNYRPAYYYNPASRKCEEFMYGGCKGNKNNFKTRHECHRVCVR)[ +146.1314] + Met-ox]</t>
  </si>
  <si>
    <t xml:space="preserve"> AEH59581</t>
  </si>
  <si>
    <t>VHNLGEYSVCDHISAWVTKTTATDIKGNTVIVMEDVNLNNEVYKQYFFETKCRNPNPEPSGCKGIDSSHWNSYCTETDTFVKALTMEGNQASWRFIRINT(SCVCVI)[-15.98624]SRKTENF</t>
  </si>
  <si>
    <t>C1IC51</t>
  </si>
  <si>
    <t>KIn-III</t>
  </si>
  <si>
    <t xml:space="preserve">W. aegyptia </t>
  </si>
  <si>
    <t>VSGRPRLCELPAESGLCNAYIPSFYYNPHSHKCQKFMYGGCGGNANNFKTIVECHRTCVG</t>
  </si>
  <si>
    <t>PVSGRPRLCELPAESGLCNAYIPSFYYNPHSHKCQKFMYGGCGGNANNFKTIVECHRTCVG</t>
  </si>
  <si>
    <t>T.FVCHNQQSSQPPTT(TNCSGGENKCYKKRWST)[74.99544]HRGTITERGCGCPTVKKGIELHCCTTDQCNL.</t>
  </si>
  <si>
    <t>(ISGLGGPKYCHLPADPGPCSNYRPAYYYNPASRKCEEFMYGGCKGNKNNFKTRHECHRVCVR)[ - 11.26]</t>
  </si>
  <si>
    <t>GGPKYCHLPADPGPCSNYRPAYYYNPASRKCEEFMYGGCKGNKNNFKTRHECHRVCVR [Met-ox]</t>
  </si>
  <si>
    <t>ABX82868</t>
  </si>
  <si>
    <t xml:space="preserve"> ABY61977</t>
  </si>
  <si>
    <t>siamenotoxin I</t>
  </si>
  <si>
    <t>N. siamensis</t>
  </si>
  <si>
    <t>LECHDQQSSQTPTTTGCSGGETNCYKKRWRDHRGYRTERGCGCPSV(KN)[-114.95783]GIEINCCTTDRCNN</t>
  </si>
  <si>
    <t>AAD09179</t>
  </si>
  <si>
    <t>cobrotoxin IV</t>
  </si>
  <si>
    <t>MECHNQQSSQAPTTKTCSGETNCYKKWWSDHRGTIIERGCGCPKVKPGVNLNCCT(TDR)[7.99825]CNN</t>
  </si>
  <si>
    <t>MTLP-2</t>
  </si>
  <si>
    <t>RPGLCELPAETGPCKARIRAFYYNPHSHKCLEFTYGGCKGNANNFKTIDECNRTCVG [+25]</t>
  </si>
  <si>
    <t>RPGLCELPAETGPCKARIRAFYYNPHSHKCLEFTYGGCKGNANNFKTIDECNRTCVG [+31]</t>
  </si>
  <si>
    <t xml:space="preserve"> C1IC52</t>
  </si>
  <si>
    <t>Kln-II</t>
  </si>
  <si>
    <t>(RPRFCELPAETGLCKARIRSFHYNRAAQQCLEFIYGGCGGNANR)[-66.20325]FKTIDECHRTCVG</t>
  </si>
  <si>
    <t>(RPRFCELPAETGLCKARIRSFHYNRAAQQCLEFIYGGCGGNANR)[-82.20325]FKTIDECHRTCVG</t>
  </si>
  <si>
    <t>PGLCELPAETGPCKARIRAFYYNPHSHKCLEFTYGGCKGNANNFKTIDECNRTCVG</t>
  </si>
  <si>
    <t>PGLCELPAETGPCKARIRAFYYNPHSHKCLEFTYGGCKGNANNFKTIDECNRTCVG [-52]</t>
  </si>
  <si>
    <t xml:space="preserve"> Q9W717</t>
  </si>
  <si>
    <t>NTL-2</t>
  </si>
  <si>
    <t>TRLCLSDYSIFSETIEICPDGHNFCFKKFPKGIT(RLPWVIRGCAATCPKAE)[-289.14653]ARVYVDCCARDKC</t>
  </si>
  <si>
    <t>YTRLCLSDYSIFSETIEICPDGHNFCFKKFPKGIT(RLPWVIRGCAATCPKAE)[-289.14653]ARVYVDCCARDKCNR</t>
  </si>
  <si>
    <t>HLGQFNNMIKCTIPGSTPWWDFSDYGCYCGYGGSGTPVDQLDRCCQTHDNCYTEAQKFSGCSPYTRKYSYECSEGTLTCKSDNDECAAFVCNCDRSAAICFARAPYNSNNVDIDLEAHCQ [+16]</t>
  </si>
  <si>
    <t>(LE)[-43.94022]CHNQQSSQTPTTKTCSGETNCYKKWWSDHRGTIIERGCGCPKVKPGVNLNCCTTDRCNN</t>
  </si>
  <si>
    <t>LKCNQLIPPFWKTCPKGKNLCYKMTMRAAPMVPVKRGCIDVCPKSSLLIKYMCCNTDKCN</t>
  </si>
  <si>
    <t>3TTX</t>
  </si>
  <si>
    <t>FVCHNQQSSQP(PTTTNCSGGENKCYKKRWST)[23.93812]HRGTITERGCGCPTVKKGIELHCCTTDQCNL</t>
  </si>
  <si>
    <t>mg/100 mg V</t>
  </si>
  <si>
    <t>venomics [%]</t>
  </si>
  <si>
    <t>Mean ± SD</t>
  </si>
  <si>
    <t>ESI-QToF</t>
  </si>
  <si>
    <t>INDEX</t>
  </si>
  <si>
    <t>Table S1</t>
  </si>
  <si>
    <t>Table S2</t>
  </si>
  <si>
    <t>Table S3</t>
  </si>
  <si>
    <t>Table S4</t>
  </si>
  <si>
    <t>Table S5</t>
  </si>
  <si>
    <t>Table S6</t>
  </si>
  <si>
    <t>Table S7</t>
  </si>
  <si>
    <t>Table S8</t>
  </si>
  <si>
    <r>
      <t xml:space="preserve">MS/MS identification of peptides/proteins in the RP-HPLC fractions of the venom of adult </t>
    </r>
    <r>
      <rPr>
        <i/>
        <sz val="16"/>
        <color theme="1"/>
        <rFont val="Calibri"/>
        <family val="2"/>
        <scheme val="minor"/>
      </rPr>
      <t>Walterinnesia aegyptia</t>
    </r>
    <r>
      <rPr>
        <sz val="16"/>
        <color theme="1"/>
        <rFont val="Calibri"/>
        <family val="2"/>
        <scheme val="minor"/>
      </rPr>
      <t xml:space="preserve"> (Riyadh, Saudi Arabia)</t>
    </r>
  </si>
  <si>
    <r>
      <t xml:space="preserve">Top-Down MS identifications of proteins in the proteomes of </t>
    </r>
    <r>
      <rPr>
        <i/>
        <sz val="16"/>
        <color theme="1"/>
        <rFont val="Calibri"/>
        <family val="2"/>
        <scheme val="minor"/>
      </rPr>
      <t>Walterinnesia aegyptia</t>
    </r>
    <r>
      <rPr>
        <sz val="16"/>
        <color theme="1"/>
        <rFont val="Calibri"/>
        <family val="2"/>
        <scheme val="minor"/>
      </rPr>
      <t xml:space="preserve"> and </t>
    </r>
    <r>
      <rPr>
        <i/>
        <sz val="16"/>
        <color theme="1"/>
        <rFont val="Calibri"/>
        <family val="2"/>
        <scheme val="minor"/>
      </rPr>
      <t>W. morgani</t>
    </r>
    <r>
      <rPr>
        <sz val="16"/>
        <color theme="1"/>
        <rFont val="Calibri"/>
        <family val="2"/>
        <scheme val="minor"/>
      </rPr>
      <t xml:space="preserve"> venoms</t>
    </r>
  </si>
  <si>
    <t>13,1</t>
  </si>
  <si>
    <t>13341.1</t>
  </si>
  <si>
    <t>25020.83</t>
  </si>
  <si>
    <r>
      <rPr>
        <b/>
        <sz val="12"/>
        <color theme="1"/>
        <rFont val="Symbol"/>
        <charset val="2"/>
      </rPr>
      <t>m</t>
    </r>
    <r>
      <rPr>
        <b/>
        <sz val="12"/>
        <color theme="1"/>
        <rFont val="Calibri"/>
        <family val="2"/>
        <scheme val="minor"/>
      </rPr>
      <t>moles Toxin/ g weighted V</t>
    </r>
  </si>
  <si>
    <r>
      <rPr>
        <b/>
        <sz val="12"/>
        <color theme="1"/>
        <rFont val="Symbol"/>
        <charset val="2"/>
      </rPr>
      <t>m</t>
    </r>
    <r>
      <rPr>
        <b/>
        <sz val="12"/>
        <color theme="1"/>
        <rFont val="Calibri"/>
        <family val="2"/>
        <scheme val="minor"/>
      </rPr>
      <t>moles S/g weighted venom</t>
    </r>
  </si>
  <si>
    <t>mg/100 mg toxins</t>
  </si>
  <si>
    <t xml:space="preserve">mg/100 mg venom </t>
  </si>
  <si>
    <t>24,4</t>
  </si>
  <si>
    <t>8,1</t>
  </si>
  <si>
    <t>0,34 ± 0,14</t>
  </si>
  <si>
    <t>SVMP</t>
  </si>
  <si>
    <t>16,4</t>
  </si>
  <si>
    <t>16,50 ± 0,10</t>
  </si>
  <si>
    <t>DC-domain/PIII-SVMP</t>
  </si>
  <si>
    <t>mg/ 820,37 mg V</t>
  </si>
  <si>
    <t>0,0056 ± 0,0044</t>
  </si>
  <si>
    <t>5'NT</t>
  </si>
  <si>
    <t>AcChol</t>
  </si>
  <si>
    <t>Endo</t>
  </si>
  <si>
    <t>TOTAL</t>
  </si>
  <si>
    <t>9,59 ± 2,98</t>
  </si>
  <si>
    <t>LTCVKYYTIFGVTP(VDCPDGQNLCFKRWHMMAPGRYDITRGCAATCPKAENHDFIKCCSTDKCNL)[6.9972].</t>
  </si>
  <si>
    <t>HLGQFNNMIKCTIPGSTPWWDFSDYGCYCGYGGSGTPVDQLDRCCQTHDNCYTEAQKFSGCSPYRRKYSYECSEGTLTCKSDNDECAAFVCNCDRLAAICFAGAPYNSNNVDIDLEARCQ [-10.08].</t>
  </si>
  <si>
    <t>7394.5</t>
  </si>
  <si>
    <t>7404.6</t>
  </si>
  <si>
    <t>LTCLICPKKYCNQVHTCRNGENLCIKTFYEGNLLGKQFKRGCAATCPEARPREIVECCSRDKCNH</t>
  </si>
  <si>
    <t>6848.4</t>
  </si>
  <si>
    <t>6852.0</t>
  </si>
  <si>
    <t>6342.9</t>
  </si>
  <si>
    <t>6349.0</t>
  </si>
  <si>
    <t>6668.0</t>
  </si>
  <si>
    <t>7339.3</t>
  </si>
  <si>
    <t>MECYKCGVSGCHLKITCSAEEKFCYKWRDKISNERWLGCAKTCTEENTWRVYNSCCTTNLCNT</t>
  </si>
  <si>
    <t>Actiflagelin-T</t>
  </si>
  <si>
    <r>
      <rPr>
        <i/>
        <sz val="12"/>
        <color theme="1"/>
        <rFont val="Calibri"/>
        <family val="2"/>
        <scheme val="minor"/>
      </rPr>
      <t>W. aegyptia</t>
    </r>
    <r>
      <rPr>
        <sz val="12"/>
        <color theme="1"/>
        <rFont val="Calibri"/>
        <family val="2"/>
        <scheme val="minor"/>
      </rPr>
      <t xml:space="preserve"> C1IC52</t>
    </r>
  </si>
  <si>
    <t>W. aegyptia C1IC52</t>
  </si>
  <si>
    <t>G.RPRLCELPAESGLCNAYIPSFYYNPHSHKCQKFMYGGC(GGNANNFKTID)[-31.9707]ECHRTCVG.</t>
  </si>
  <si>
    <t>RPRLCELPAESGLCNAYIPSFYYNPHSHKCQKFMYGGC(GGNANNFKTID)[-31.9707]ECHRTCVG.</t>
  </si>
  <si>
    <t>RPRLCELPAESGLCNAYIPSFYYNPHSHKCQKFMYGGCGGNANNFKTIDECHRTCVG.</t>
  </si>
  <si>
    <t>G.RPRLCELPAESGLCNAYIPSFYYN(PHSHKCQKFM)[15.9979]YGGCGGNANNFKTIDECHRTCVG.</t>
  </si>
  <si>
    <t>RPRLCELPAESGLCNAYIPSFYYN(PHSHKCQKFM)[15.9979]YGGCGGNANNFKTIDECHRTCVG</t>
  </si>
  <si>
    <t>.</t>
  </si>
  <si>
    <t>LECHNQQSSQTPTTTGCSGGENNCYKKEWRDNRGYRTERGCGCPSVKKGIGINCCTTD(RC)[-239.1135]NN.</t>
  </si>
  <si>
    <t>6601.1</t>
  </si>
  <si>
    <t>14199.1</t>
  </si>
  <si>
    <t>14213.3</t>
  </si>
  <si>
    <t>SSIRPLPLHLGQFNNM(IKCTIPGSTPWWDFSDYGCYCGYGGSGTPVDQLDRCCQTH)[-12.1065]DNCYTEAQKFSGCSPYRRKYSYECSEGTLTCKSDNDECAAFVCNCDRLAAICFAGAPYNSNNVDIDLEARCQ.</t>
  </si>
  <si>
    <t>.LECYQKSKVVTCQPEQKFCYSDTMTFFPNHPVYLSGCTFCRTDESGERCCTTD(R)[-23.9851]CNK.</t>
  </si>
  <si>
    <t>P01402</t>
  </si>
  <si>
    <t xml:space="preserve">Weak toxin CM-1b </t>
  </si>
  <si>
    <t>T.LTCVKYYTIFGVTP(VDCPDGQNLCFKRWHMMAPGRYDITRGCAATCPKAENHDFIKCCSTDKCNL)[6.9972].</t>
  </si>
  <si>
    <t>Kunitz-type serine protease inhibitor II</t>
  </si>
  <si>
    <t>Precursor mass [RED]</t>
  </si>
  <si>
    <t>mg/ 771,15 mg V</t>
  </si>
  <si>
    <r>
      <t xml:space="preserve">Table S7. Quantification by QQQ ICP-MS of the venom proteome of </t>
    </r>
    <r>
      <rPr>
        <b/>
        <i/>
        <sz val="14"/>
        <color theme="1"/>
        <rFont val="Calibri"/>
        <family val="2"/>
        <scheme val="minor"/>
      </rPr>
      <t>W. aegyptia</t>
    </r>
    <r>
      <rPr>
        <b/>
        <sz val="14"/>
        <color theme="1"/>
        <rFont val="Calibri"/>
        <family val="2"/>
        <scheme val="minor"/>
      </rPr>
      <t xml:space="preserve"> (Riyadh, Saudi Arabia)</t>
    </r>
  </si>
  <si>
    <r>
      <t xml:space="preserve">Table S6. Quantification by QQQ ICP-MS of the venom proteome of </t>
    </r>
    <r>
      <rPr>
        <b/>
        <i/>
        <sz val="14"/>
        <color theme="1"/>
        <rFont val="Calibri"/>
        <family val="2"/>
        <scheme val="minor"/>
      </rPr>
      <t xml:space="preserve">W. aegyptia </t>
    </r>
    <r>
      <rPr>
        <b/>
        <sz val="14"/>
        <color theme="1"/>
        <rFont val="Calibri"/>
        <family val="2"/>
        <scheme val="minor"/>
      </rPr>
      <t>(Sinai, peninsula, Egypt)</t>
    </r>
  </si>
  <si>
    <r>
      <rPr>
        <b/>
        <sz val="16"/>
        <color theme="1"/>
        <rFont val="Calibri (Cuerpo)_x0000_"/>
      </rPr>
      <t>Table S2.</t>
    </r>
    <r>
      <rPr>
        <sz val="14"/>
        <rFont val="Calibri"/>
        <family val="2"/>
        <scheme val="minor"/>
      </rPr>
      <t xml:space="preserve"> </t>
    </r>
  </si>
  <si>
    <t>pdb|1COD|A Chain A, Solution Conformation Of Cobrotoxin</t>
  </si>
  <si>
    <t>pdb|1CXN|A Chain A</t>
  </si>
  <si>
    <t>sp|P00602.1|PA2A1_NAJMO RecName: Full=Acidic phospholipase A2 CM-I</t>
  </si>
  <si>
    <t>PLA2_N.nigricollis.tanzania_T1513_T1451_T1456_T1459_Partial PLA2</t>
  </si>
  <si>
    <t>PLA2_Walterinnesia.aegyptia_T3262_T3267</t>
  </si>
  <si>
    <t>PLA2_Walterinnesia.aegyptia_T3262_T3268</t>
  </si>
  <si>
    <t>PLA2_Walterinnesia.aegyptia_T3262_T3269</t>
  </si>
  <si>
    <t>PLA2_Walterinnesia.aegyptia_T3262_T3270</t>
  </si>
  <si>
    <t>PLA2_Walterinnesia.aegyptia_T3262_T3271</t>
  </si>
  <si>
    <t>PLA2_Walterinnesia.aegyptia_T3262_T3272</t>
  </si>
  <si>
    <t>PLA2_Walterinnesia.aegyptia_T3262_T3273</t>
  </si>
  <si>
    <t>PLA2_Walterinnesia.aegyptia_T3262_T3274</t>
  </si>
  <si>
    <t>PLA2_Walterinnesia.aegyptia_T3262_T3275</t>
  </si>
  <si>
    <t>PLA2_Walterinnesia.aegyptia_T3262_T3276</t>
  </si>
  <si>
    <t>PLA2_Walterinnesia.aegyptia_T3262_T3277</t>
  </si>
  <si>
    <t>PLA2_Walterinnesia.aegyptia_T3262_T3278</t>
  </si>
  <si>
    <t>pdb|1PSH|A Chain A</t>
  </si>
  <si>
    <t>pdb|2OSH|A Chain A, Crystal Structure Of Natratoxin</t>
  </si>
  <si>
    <t>sp|P00600.1|PA2A2_NAJME RecName: Full=Acidic phospholipase A2 DE-II</t>
  </si>
  <si>
    <t>AAB33649.1 toxin-3=postsynaptic neurotoxin short chain [Naja naja sputatrix venom]</t>
  </si>
  <si>
    <t>3FTX_N.philippensis_T1247_T0775_T1071_Partial</t>
  </si>
  <si>
    <t>3FTX_N.philippensis_T1247_T0775_T1071</t>
  </si>
  <si>
    <t xml:space="preserve">Proteoform's amino acid sequence </t>
  </si>
  <si>
    <t>Closest homologue in database</t>
  </si>
  <si>
    <t>FVCHNQQSSQPPT(TTNCSGGENKCYKKRWST)[234.02702]HRGTITERGCGCPTVKKGIELHCCTTDQCNL</t>
  </si>
  <si>
    <t>LECHNQQSSQTPTTTGCSGGETNCYKKRWRDHRGYRTERGCGCPSVKNGIEI(NCCTTDRCNN)[-95.95210]</t>
  </si>
  <si>
    <t>FVCHNQQSSQPPT(TTNCSGGENKCYKKRWSTHRGTITERGCGCPTVKKGIELHCCTTDQCNL)[18.97861]</t>
  </si>
  <si>
    <t>(LECHNQQ)[4.00971]SSQAPTTKTCSGETNCYKKWWSDHRGTIIERGCGCPKVKPGVKLNCCRTDRCNN</t>
  </si>
  <si>
    <t>FVCHNQQSSQPPTTT(NCSGGENKCYKKRWSTHRGTITERGCGCPTVKKGIELHCCTTDQCNL)[-29.98802]</t>
  </si>
  <si>
    <t>FVCHNQQSSQP(PTTTNCSGGENKCYKKRWST)[-77.91164]HRGTITERGCGCPTVKKGIELHCCTTDQCNL</t>
  </si>
  <si>
    <t>LECHNQQSSQTPTTTGCSGGENNCYKKEWRDNRGYRTERGCGCPSVKKGIGI(N)[16.10854]CCTTDRCNN</t>
  </si>
  <si>
    <t>LECHNQQSSQTPTT(TGCSGGETNCYKKRWRDHRGYRTERGCGCPSVKN)[-95.94812]GIEINCCTTDRCNN</t>
  </si>
  <si>
    <t>LECHNQQSSQTPTTTGCSGGENNCYKKEWRDNRGYRTERGCGCPSVKKGIG(INCCTTDR)[0.10225]CNN</t>
  </si>
  <si>
    <t>FVCHNQQSSQPPTTT(NCSGGENKCYKKRWST)[161.00268]HRGTITERGCGCPTVKKGIELHCCTTDQCNL</t>
  </si>
  <si>
    <t>FVCHNQQSSQPPTTTNCSGGE(NKCYKKRWST)[-14.00939]HRGTITERGCGCPTVKKGIELHCCTTDQCNL</t>
  </si>
  <si>
    <t>MICHNQQSSQRPTIKTCPGETNCYKKRWRDHRGTIIERGCGCPSV(KKGVGIYCCKTDKCN)[-217.20420]R</t>
  </si>
  <si>
    <t>FITPDVTSQACPDGHVCYTKMWCDNFCGMRGKRVDLGCAATCPKVKPGVDIKCCSRDNCNPF</t>
  </si>
  <si>
    <t>LECHNQQSSQAPTTTCCPGGETNCYKKWWSGHCGTVIERGCGCPKVKPGVKLNCCRTDRCNN</t>
  </si>
  <si>
    <t>M(ECHNQQSSQT)[-56.93304]PTTTGCSGGETNCYKKWWSDHRGTIIERGCGCPKVKPGVNLNCCTTDRCNN</t>
  </si>
  <si>
    <t>VCHNQQ(SSQPPTTTNCSGGENKCYKKRWSTHRGTITERGCGCPTVK)[63.04179]KGIELHCCTTDQCNL</t>
  </si>
  <si>
    <t>TPISGRPQFCELPAETGQCKAHIRSFHYNLAAQQCLEFIYGGCGGNANRFKTIDECHRTCV</t>
  </si>
  <si>
    <t>KCGVSGCHLKITCSAEETFCYKWHNKILNLRWHGCAKTCTEEDTWKAYIKCCTTNLCNT</t>
  </si>
  <si>
    <t>(FTCFT)[-374.03649]TPSDTSETCPDGQNICYEKRWNSHQGVEIKGCVASCPEFESRFRYLLCCRIDNCNK</t>
  </si>
  <si>
    <t>CSTRYCTTFHTCPNGQDLCFKRWYEGNQLGWRAIRGCAATCPEAKTRETVECCATDKCNK</t>
  </si>
  <si>
    <t>CHNQ(Q)[226.17203]SSQAPTTTCCPGGETNCYKKWWSGHCGTVIERGCGCPKVKPGVKLNCCRTDRCNN</t>
  </si>
  <si>
    <t>PGPCSNYRPAYYYNPASRKCEEFMYGGCKGNKNNFKTRHECHRVCVR</t>
  </si>
  <si>
    <t>SRTPETTEICPDSWYFCYKISLADGNDVRIKRGCTFTCPELRPTGKYVYCCRRDKCNQ</t>
  </si>
  <si>
    <t>(LECHNQQ)[-54.05624]SSQPPTTKTCPGETNCYKKRWRDHRGSITERGCGCPSVKKGIEINCCTTDKCNN</t>
  </si>
  <si>
    <t>GGPKYCHLPADPG(PCSNYRPAYY)[-31.95775]YNPASRKCEEFMYGGCKGNKNNFKTRHECHRVCVR</t>
  </si>
  <si>
    <t>GGPKYCHLPADPG(PCSNYQYVYYYNPALRKCEQFIYGGCE)[-106.02343]GNKNNFKTRHECHRVCVR</t>
  </si>
  <si>
    <t>GPKYCHLPADPGPCSNYRPAYYYNPASRKCEEFMYGGCKGNKNNFKTRHECHRVCVR</t>
  </si>
  <si>
    <t>GGPKYCHLPADPG(PCSNYRPAYYYNPASRKCEEFMY)[37.95514]GGCKGNKNNFKTRHECHRVCVR</t>
  </si>
  <si>
    <t>MECHNQQSSQPPTTKTCPGETNCYKKQWSDHRGTIIERGCGCPSVKKGVKINCCT(TDRC)[-12.94018]NN</t>
  </si>
  <si>
    <t>LECHNQQSSQTPTTTGCSGGENNCYKKEWRDNRGYRTERGCGCPSVKKG(IG)[-71.94520]INCCTTDRCNN</t>
  </si>
  <si>
    <t>LGGPKYCHLPA(D)[4.02032]PGPCSNYRPAYYYNPASRKCEEFMYGGCKGNKNNFKTRHECHRVCVR</t>
  </si>
  <si>
    <t>(PISGL)[-293.25710]GGPKYCHLPADPGPCSNYRPAYYYNPASRKCEEFMYGGCKGNKNNFKTRHECHRVCVR</t>
  </si>
  <si>
    <t>CVKEKFLFSETTETC(PDGQNVCFNQAHLIYPGKYKRTRGCAATCPKLQ)[-357.31816]NRDVIFCLSTDKCNL</t>
  </si>
  <si>
    <t>(LGGPKYCHL)[6.06129]PADPGPCSNYRPAYYYNPASRKCEEFMYGGCKGNKNNFKTRHECHRVCVR</t>
  </si>
  <si>
    <t>TLECHNQQSSQAPTTKTCSGETNCYKKWWSDHRGTIIERGCGCPKVKPGVNLNCCTTDRCN</t>
  </si>
  <si>
    <t>MECHNQQSSQTPTTTG(CSGGETNCYKKWWSDHRGT)[-47.92784]IIERGCGCPKVKPGVNLNCCTTDRCNN</t>
  </si>
  <si>
    <t>L.CKAHIPSFHYNLAAQQCLGFIYGGCG(GNANR)[174.99966]FKTIDECHRTCVG</t>
  </si>
  <si>
    <t>CKAHIPSFHYNLAAQQCLGFIYGGCG(GNANRF)[212.94599]KTIDECHRTCVG</t>
  </si>
  <si>
    <t>GLCKAH(IPSFHYNLAAQQCLGFIYGGCGGNANRF)[-282.26319]KTIDECHRTCVG</t>
  </si>
  <si>
    <t>KAHIPSFHYNLAAQQCL(GFIYGGCGGNANR)[278.05045]FKTIDECHRTCVG</t>
  </si>
  <si>
    <t>CKAHIPSFHYNLAAQQCLGFIYGGCG(GNANRF)[174.99571]KTIDECHRTCVG</t>
  </si>
  <si>
    <t>RPGLCELPAETGPCKARIRAFYYNPHSHKCLEFTYGGCKGNANNFKTID(ECNRTCVG)[-232.08497]</t>
  </si>
  <si>
    <t>RPGLCELP(AETGPCKARIRAFYYNPHSHKCLEFTYGGCKGNANNFK)[-63.93677]TIDECNRTCVG</t>
  </si>
  <si>
    <t>RPGLCELP(AETGPCKARIRAFYYNPHSHKCLEFT)[17.00048]YGGCKGNANNFKTIDECNRTCVG</t>
  </si>
  <si>
    <t>RPGLCELPAETGPCKARIRAFYYNPHSHKCLEFTYGGCKGNANNFKTIDE(CNRTCVG)[232.05315]</t>
  </si>
  <si>
    <t>RPGLCELPAET(GPCKARIRAFYYN)[-30.96533]PHSHKCLEFTYGGCKGNANNFKTIDECNRTCVG</t>
  </si>
  <si>
    <t>RPGLCELPAETGPCKARIRAFYYNPHSHKCLEFTY(GGCKGNANNFK)[37.95386]TIDECNRTCVG</t>
  </si>
  <si>
    <t>CELPAETGPCKARIRAFYYNPHSHKCLEFTYGGCKGNANNFKTIDECNRTCVG</t>
  </si>
  <si>
    <t>(TPVSG)[-267.20414]RPGLCELPAETGPCKARIRAFYYNPHSHKCLEFTYGGCKGNANNFKTIDECNRTCVG</t>
  </si>
  <si>
    <t>LTCLNCPEMFCGKFQICRNGEKICFKKLHQRRPLSRYIRGCADTCP(VGYPKEMIECCSTDKCNR)[-59.95783]</t>
  </si>
  <si>
    <t>LTCLICPEKYCNKVHTCLNGE(KICFKRYSERKLLGKRYIRGCAD)[-189.17631]TCPVRKPREIVQCCSTDKCNH</t>
  </si>
  <si>
    <t>LTCLNCPEVYCRRFQICRDGEKICFKKFDQRNLL(GKRYRRGCAATCPEAKPREIVQCCSTDKCN)[-226.18502]R</t>
  </si>
  <si>
    <t>SFHYNLAAQQCLGFIYGGCG(GNANRFK)[260.07953]TIDECHRTCVG</t>
  </si>
  <si>
    <t>sp|P00986.1|VKT2_NAJNI RecName: Full=Venom basic protease inhibitor 2</t>
  </si>
  <si>
    <t>DCPDGQNLCFKRWHMMVPGRYDIIRGCAATCPKPE(NHDP)[-124.05356]IECCSTDKCNL</t>
  </si>
  <si>
    <t>LTCLICPEKYCNKVHTCRNGENICFKRFYEGNL(LGKRYPRGCAATCPEAKPREIVECCSTD)[-18.94994]KCNH</t>
  </si>
  <si>
    <t>LTCLICPEKYCNKVHTCLNGEKICFKRYS(ERKLLGKRYIRGCADTCPV)[-157.22092]RKPREIVQCCSTDKCNH</t>
  </si>
  <si>
    <t>GRPWFCELPAET(GLCKAHIPSFHYNLAAQQCLGFIYGGCGGNANRF)[214.14125]KTIDECHRTCVG</t>
  </si>
  <si>
    <t>(RPRFCELPAETGLCKARIRSFHYNRAAQQCLEFIYGGCGGNANRF)[107.89749]KTIDECHRTCVG</t>
  </si>
  <si>
    <t>LTCLI(CPEKY)[-449.16928]CNKVHTCLNGENICFKRFNRILGKRYDLGCAATCPTVKTGIVQCCSTDKCNH</t>
  </si>
  <si>
    <t>LTC(LICPEKYCNKVHTCLNGENICFK)[467.21940]RFNRILGKRYDLGCAATCPTVKTGIVQCCSTDKCNH</t>
  </si>
  <si>
    <t>MECYKCGVSGCHLKITCSAE(ETFCYKWHNKILNLRWHGCAKTCTEEDSWKAYIKCCTTNL)[80.92279]CNT</t>
  </si>
  <si>
    <t>MECHNQQSSQP(PTTTHCSGGETNCYEKRWHDHRGTIIERGCGCPTVKPGVKLNCCTTDKCN)[435.22438]N</t>
  </si>
  <si>
    <t>MECYKCGVSGCHLKITCSAEETFCYKWHNK(ILNLRWHGCAKTCTEEDSWKAYIK)[42.97105]CCTTNLCNT</t>
  </si>
  <si>
    <t>MECYKCGVSGCHLKITCSAE(ETFCYKWHNKILNLRWHGCAKTCTEEDTWKAYIK)[28.96447]CCTTNLCNT</t>
  </si>
  <si>
    <t>KCNQLIPPFYKTCAAGKNLCY(KMFMVAAPKVPVKRGCIDVCPKSSLLVKYVCCNTD)[39.69598]RCN</t>
  </si>
  <si>
    <t>LTCVKYYTIFGVTPVDC(PDGQNLCFKRWHMMVPGRYDIIRGCAATCPKPENHDPI)[7.98093]ECCSTDKCNL</t>
  </si>
  <si>
    <t>LTCVKYYTIFGVTPV(DCPDGQNLCFKRWHMMAPGRYDITRGCAATCPKAENHDFIKCCSTD)[46.94860]KCNL</t>
  </si>
  <si>
    <t>LTCVKYYTIFGVTPVDCPDGQN(LCFKRWHMMAPGRYDITRGCAATCPKAQN)[50.05257]HDSIECCSTDKCNL</t>
  </si>
  <si>
    <t>LTCVKYYTIFGVTPVDCPDGQNLCFKRWHMMAP(GRYDITRGCAATCPK)[-9.02741]AENHDFIKCCSTDKCNL</t>
  </si>
  <si>
    <t>LTCVKYYTIFGVTPVDCPDGQNLCFKRWHMMV(PGRYDIIRGCAATCPKPENHDPIE)[-26.04247]CCSTDKCNL</t>
  </si>
  <si>
    <t>LTCVKYYTIFGVTPVDCPD(GQNLCFKRWHMMAPGRYDITRGCAATCPKAQN)[107.00342]HDSIECCSTDKCNL</t>
  </si>
  <si>
    <t>LTCVKYYTIFGVTPVDCPDGQNLCFKRWHMMVPGRYDIIRGCAATCPKPE(NHDP)[28.91138]IECCSTDKCNL</t>
  </si>
  <si>
    <t>LTCVKYYTIFGVTPVDCPDGQNLCFKRWHMMVPGRYDIIRGCAATCPKPENHD(PI)[-9.03525]ECCSTDKCNL</t>
  </si>
  <si>
    <t>LTCVKYYTIFGVTPVDCPD(GQNLCFKRWHMMAPGRYDITRGCAATCPKAQN)[68.04922]HDSIECCSTDKCNL</t>
  </si>
  <si>
    <t>TRLCLSDY(SIFSET)[-84.83550]IEICPDGHNFCFKKFPKGITRLPWVVRGCAATCPKAEAQVYVDCCARDKCNR</t>
  </si>
  <si>
    <t>(NLYQFKNMIHCTVPSRPWWHFADYGCYC)[7.30672]GRGGKGTAVDDLDRCCQVHDNCYGEAEKLGCWPYLTLYKYECSQGKLTCSGGNNKCEAAVCNCDLVAANCFAGAPYIDANYNVNLKERCQ</t>
  </si>
  <si>
    <t>RLCL(SDYS)[14.01638]IFSETIEICPDGHNFCFKKFPKGITRLPWVIRGCAATCPKAEAQVYVDCCARDKCNR</t>
  </si>
  <si>
    <t>L.YQFKNMIHCTVPSRPWWHFADYGCYCGRG(GTGTAVDDLDRCCQVHDNCY)[265.22617]GEAEKLGCWPYLTLYKYECSQGKLTCSGGNNKCQAAVCNCDLVAANCFAGAPYIDANYNVNLKERCQ</t>
  </si>
  <si>
    <t>NLYQFKNMIH(CTVPSRPWWHFA)[12.09493]DYGCYCGRGGKGTAVDDLDRCCQVHDNCYGEAEKLGCWPYLTLYKYECSQGKLTCSGGNNKCEAAVCNCDLVAANCFAGAPYIDANYNVNLKERCQ</t>
  </si>
  <si>
    <t>HLGQFNNMI(KCTI)[14.40114]PGSTPWWDFSDYGCYCGYGGSGTPVDQLDRCCQTHDNCYTEAQKFSGCSPYTRKYSYECSEGTLTCKSDNDECAAFVCNCDRSAAICFARAPYNSNNVDIDLEAHCQ</t>
  </si>
  <si>
    <t>HLGQFNNMIKCTIPGSTPW(WDFSDYGCYCGYGGSGTPVDQLDRCCQTHDNCYTEAQKFSGCSPYTRKYSYECSEGTLTCKSDNDECAAFVCNCDRSAAICFARAPYNSNN)[-20.61733]VDIDLEAHCQ</t>
  </si>
  <si>
    <t>HLGQFNNMIKCTIPGST(PWWDFSDYGCYCGYGGSGTPVDQLDRCCQTHDNCYTEAQKFSGCSPYTRKYSYECSEGTLTCKSDNDECAAFVCNCDRSAAICFARAPYNSNNVDID)[8.39492]LEAHCQ</t>
  </si>
  <si>
    <t>HLGQFNNMIKCTIPGSTPWWDFSDYGCYCGYGGSGT(PVDQL)[-17.00276]DRCCQTHDNCYTEAQKFSGCSPYTRKYSYECSEGTLTCKSDNDECAAFVCNCDRSAAICFARAPYNSNNVDIDLEAHCQ</t>
  </si>
  <si>
    <t>HLGQFNNMIKCTIPGSTPWWDFSDYGCYCGYGGSGTPVDQLDRCCQTHDNCYTEAQKFSGCSPYTRKYSYECSEGTLTCKSDNDECAAFVCNCDRSAAICFARAPYNSNNVD(ID)[37.95080]LEAHCQ</t>
  </si>
  <si>
    <t>HLGQFNNMIKCTIPGSTPWWDFSDYGC(YCGYGGSGT)[-15.78577]PVDQLDRCCQTHDNCYTEAQKFSGCSPYTRKYSYECSEGTLTCKSDNDECAAFVCNCDRSAAICFARAPYNSNNVDIDLEAHCQ</t>
  </si>
  <si>
    <t>HLGQFNNMIKCTIPGSTPWWDFSDYGCYCGYGGSGTPVDQLDRCCQTHDNCYTEAQKF(SGCSPYTRKYSYECSEGTLTCKSDNDECAAFVCNCD)[-18.92595]RSAAICFARAPYNSNNVDIDLEAHCQ</t>
  </si>
  <si>
    <t>GQFNNMIKCTIPGSTPWWDFSDYGCYCGYGGSGTPVDQLDRCCQTHDNCYTEAQKFSGCSPYTRKYSYECSEGTLTCKSDNDECAAFVCNCDRSAAICFARAPYNSNNVDIDLEAHCQ</t>
  </si>
  <si>
    <t>HLGQFNNMIKCTIPGSTPWWDFSDYGCYCGYGG(SGTPVDQLDRCCQTHDNCYTEAQKFSGCSPYTRKYSYECSEGTLTCKSDNDEC)[40.05578]AAFVCNCDRSAAICFARAPYNSNNVDIDLEAHCQ</t>
  </si>
  <si>
    <t>NLYQFKNMIKCTVPSRSWWDFADYGCYCGRGGSGTPVDDLDRCCQVHDNCYNEAEKISGCWPYFKTYSYECSQGTLTCKGDNNACAASVCDCDRLAAICFAGAPYNDNN(YNIDLK)[51.98087]ARCQ</t>
  </si>
  <si>
    <t>NLYQFKNMIQCTVPSRSWCD(FADYGCYCGKGGSGTPVDDLDRCCQVHDNCYNEAEKISGCWPYFKTYSYECSQGTLTCKGGNNACAAAVCDCDRLAAICFAGAPYTDANYNIDLK)[236.08233]ARCQ</t>
  </si>
  <si>
    <t>NLYQFKNMIQCTVPNRSWWHFANYGCYCGRGGSGTPVDDLDRCCQIHDNCYGEAEKISGCWPYIKTYTYESCQGTLTSCGANNK(CAASVCDCDRVAANCFARA)[-319.26385]TYNDKNYNIDFNARCQ</t>
  </si>
  <si>
    <t>EDHPVHNLGEYSVCDHISAWVTKTTATDIKGNTVIVMEDVNLNNEVYKQYFFETKCRNPNPEPSGCKGIDSSHWNSYCTETDTFVKALTME(GNQASWRFIRINTSCVCVISRKTENF)[-163.05682]</t>
  </si>
  <si>
    <t>HLGQFNNMIKCTIPGSTPWWDFSDYGCYCGYGGS(GTPVDQLDRCCQTHDNCYTEAQKFSGCSPYTRKYSYECSEGTLTCKSDNDE)[-9.93820]CAAFVCNCDRSAAICFARAPYNSNNVDIDLEAHCQ</t>
  </si>
  <si>
    <t>EDHPVHNLGEYSVCDHISAWVTKTTATDIKGNTVIVMEDVNLNNEVYKQYFFETKCRNPNPEPSGCKGIDSSHWNSYCTETDTFVKALTMEGNQASWRFIRINTSCVCVISRKTE(NF)[-15.99290]</t>
  </si>
  <si>
    <t>HLGQFNNMIKCTIPGSTPWWD(F)[4.40315]SDYGCYCGYGGSGTPVDQLDRCCQTHDNCYTEAQKFSGCSPYTRKYSYECSEGTLTCKSDNDECAAFVCNCDRSAAICFARAPYNSNNVDIDLEAHCQ</t>
  </si>
  <si>
    <t>HLGQFNNMIKCTIPGSTPWW(D)[2.07072]FSDYGCYCGYGGSGTPVDQLDRCCQTHDNCYTEAQKFSGCSPYTRKYSYECSEGTLTCKSDNDECAAFVCNCDRSAAICFARAPYNSNNVDIDLEAHCQ</t>
  </si>
  <si>
    <t>HLGQFNNMIKCTIPGSTPWWDFSD(Y)[-1.95157]GCYCGYGGSGTPVDQLDRCCQTHDNCYTEAQKFSGCSPYTRKYSYECSEGTLTCKSDNDECAAFVCNCDRSAAICFARAPYNSNNVDIDLEAHCQ</t>
  </si>
  <si>
    <r>
      <t xml:space="preserve">Table S1. Venom gland transcriptomics-assisted top-down MS-derived full-length sequences for the venom proteome of a black desert cobra, </t>
    </r>
    <r>
      <rPr>
        <b/>
        <i/>
        <sz val="14"/>
        <color theme="1"/>
        <rFont val="Calibri"/>
        <family val="2"/>
        <scheme val="minor"/>
      </rPr>
      <t xml:space="preserve">Walterinnesia aegyptia, </t>
    </r>
    <r>
      <rPr>
        <b/>
        <sz val="14"/>
        <color theme="1"/>
        <rFont val="Calibri"/>
        <family val="2"/>
        <scheme val="minor"/>
      </rPr>
      <t xml:space="preserve">specimen of unknown origin kept in captivity in London Zoo. </t>
    </r>
  </si>
  <si>
    <r>
      <rPr>
        <b/>
        <i/>
        <sz val="14"/>
        <color theme="1"/>
        <rFont val="Calibri"/>
        <family val="2"/>
        <scheme val="minor"/>
      </rPr>
      <t>W. aegyptia</t>
    </r>
    <r>
      <rPr>
        <b/>
        <sz val="14"/>
        <color theme="1"/>
        <rFont val="Calibri"/>
        <family val="2"/>
        <scheme val="minor"/>
      </rPr>
      <t xml:space="preserve"> (Riyadh, SA) </t>
    </r>
  </si>
  <si>
    <r>
      <rPr>
        <b/>
        <i/>
        <sz val="14"/>
        <color theme="1"/>
        <rFont val="Calibri"/>
        <family val="2"/>
        <scheme val="minor"/>
      </rPr>
      <t xml:space="preserve">W. aegyptia </t>
    </r>
    <r>
      <rPr>
        <b/>
        <sz val="14"/>
        <color theme="1"/>
        <rFont val="Calibri"/>
        <family val="2"/>
        <scheme val="minor"/>
      </rPr>
      <t xml:space="preserve">(Sinai Peninsula, Egypt) </t>
    </r>
  </si>
  <si>
    <t>PLA2 PL-I</t>
  </si>
  <si>
    <t>PLA2 PL-II</t>
  </si>
  <si>
    <t>9,4</t>
  </si>
  <si>
    <t>12,72 ± 3,31</t>
  </si>
  <si>
    <t>18,8</t>
  </si>
  <si>
    <t>15,68 ± 3,09</t>
  </si>
  <si>
    <t>51,4</t>
  </si>
  <si>
    <t>53,09 ± 1.69</t>
  </si>
  <si>
    <t>Kunitz inhibitor-I</t>
  </si>
  <si>
    <t>3FTx-Actiflagellin</t>
  </si>
  <si>
    <r>
      <rPr>
        <i/>
        <sz val="12"/>
        <rFont val="Calibri"/>
        <family val="2"/>
        <scheme val="minor"/>
      </rPr>
      <t>W. aegyptia</t>
    </r>
    <r>
      <rPr>
        <sz val="12"/>
        <rFont val="Calibri"/>
        <family val="2"/>
        <scheme val="minor"/>
      </rPr>
      <t xml:space="preserve"> PLA2-II C1IC45</t>
    </r>
  </si>
  <si>
    <t>3FTx Actiflagelin</t>
  </si>
  <si>
    <r>
      <rPr>
        <b/>
        <i/>
        <sz val="12"/>
        <color theme="1"/>
        <rFont val="Calibri"/>
        <family val="2"/>
        <scheme val="minor"/>
      </rPr>
      <t xml:space="preserve">W.aegyptia </t>
    </r>
    <r>
      <rPr>
        <b/>
        <sz val="12"/>
        <color theme="1"/>
        <rFont val="Calibri"/>
        <family val="2"/>
        <scheme val="minor"/>
      </rPr>
      <t>C1IC49</t>
    </r>
  </si>
  <si>
    <t>5-6</t>
  </si>
  <si>
    <t>LECYQKSKVVTCQPEQKFCYSDTMTFFPNHPVYLSGCTFCRTDESGERCCTTD(R)[-23.9851]CNK</t>
  </si>
  <si>
    <t>8-9</t>
  </si>
  <si>
    <t>10-11</t>
  </si>
  <si>
    <t>11</t>
  </si>
  <si>
    <t>7</t>
  </si>
  <si>
    <t>10</t>
  </si>
  <si>
    <t>9</t>
  </si>
  <si>
    <t>13</t>
  </si>
  <si>
    <t>13-15</t>
  </si>
  <si>
    <t>1</t>
  </si>
  <si>
    <t>2</t>
  </si>
  <si>
    <t>3-4</t>
  </si>
  <si>
    <t>HLGQFNNMIKCTIPGSTPWWDFSDYGCYCGYGGSGTPVDQLDRCCQTHDNCYTEAQKFSGCSPYRRKYSYECS(EGTLTCKSDNDECAAFVCNCDRLA)[1.9819]AICFAGAPYNSNNVDIDLEARCQ</t>
  </si>
  <si>
    <t>ESI-QToF (% cps)</t>
  </si>
  <si>
    <r>
      <t>W. morgani</t>
    </r>
    <r>
      <rPr>
        <b/>
        <sz val="14"/>
        <color theme="1"/>
        <rFont val="Calibri"/>
        <family val="2"/>
        <scheme val="minor"/>
      </rPr>
      <t xml:space="preserve"> (Çörten village, Turkey)</t>
    </r>
  </si>
  <si>
    <r>
      <t xml:space="preserve">Table S8. Quantification by QQQ ICP-MS of the venom proteome of </t>
    </r>
    <r>
      <rPr>
        <b/>
        <i/>
        <sz val="14"/>
        <color theme="1"/>
        <rFont val="Calibri"/>
        <family val="2"/>
        <scheme val="minor"/>
      </rPr>
      <t>W. morgani</t>
    </r>
    <r>
      <rPr>
        <b/>
        <sz val="14"/>
        <color theme="1"/>
        <rFont val="Calibri"/>
        <family val="2"/>
        <scheme val="minor"/>
      </rPr>
      <t xml:space="preserve"> (Çörten village, Turkey)</t>
    </r>
  </si>
  <si>
    <r>
      <t xml:space="preserve">Quantification by QQQ ICP-MS of the venom proteome of </t>
    </r>
    <r>
      <rPr>
        <i/>
        <sz val="16"/>
        <color theme="1"/>
        <rFont val="Calibri"/>
        <family val="2"/>
        <scheme val="minor"/>
      </rPr>
      <t>W. morgani</t>
    </r>
    <r>
      <rPr>
        <sz val="16"/>
        <color theme="1"/>
        <rFont val="Calibri"/>
        <family val="2"/>
        <scheme val="minor"/>
      </rPr>
      <t xml:space="preserve"> (Çörten village, Turkey)</t>
    </r>
  </si>
  <si>
    <r>
      <t xml:space="preserve">Quantification by QQQ ICP-MS of the venom proteome of </t>
    </r>
    <r>
      <rPr>
        <i/>
        <sz val="16"/>
        <color theme="1"/>
        <rFont val="Calibri"/>
        <family val="2"/>
        <scheme val="minor"/>
      </rPr>
      <t>W. aegyptia</t>
    </r>
    <r>
      <rPr>
        <sz val="16"/>
        <color theme="1"/>
        <rFont val="Calibri"/>
        <family val="2"/>
        <scheme val="minor"/>
      </rPr>
      <t xml:space="preserve"> (Riyadh, Saudi Arabia)</t>
    </r>
  </si>
  <si>
    <r>
      <t xml:space="preserve">MS/MS identification of peptides/proteins in the RP-HPLC fractions of the venom of adult </t>
    </r>
    <r>
      <rPr>
        <i/>
        <sz val="16"/>
        <color theme="1"/>
        <rFont val="Calibri"/>
        <family val="2"/>
        <scheme val="minor"/>
      </rPr>
      <t>Walterinnesia aegyptia</t>
    </r>
    <r>
      <rPr>
        <sz val="16"/>
        <color theme="1"/>
        <rFont val="Calibri"/>
        <family val="2"/>
        <scheme val="minor"/>
      </rPr>
      <t xml:space="preserve"> (Sinai  Peninsula, Egypt)</t>
    </r>
  </si>
  <si>
    <r>
      <t xml:space="preserve">MS/MS identification of peptides/proteins in the RP-HPLC fractions of the venom of adult </t>
    </r>
    <r>
      <rPr>
        <i/>
        <sz val="16"/>
        <color theme="1"/>
        <rFont val="Calibri"/>
        <family val="2"/>
        <scheme val="minor"/>
      </rPr>
      <t xml:space="preserve">Walterinnesia morgani </t>
    </r>
    <r>
      <rPr>
        <sz val="16"/>
        <color theme="1"/>
        <rFont val="Calibri"/>
        <family val="2"/>
        <scheme val="minor"/>
      </rPr>
      <t>(Çörten village, Turkey)</t>
    </r>
  </si>
  <si>
    <r>
      <t xml:space="preserve">Quantification by QQQ ICP-MS of the venom proteome of </t>
    </r>
    <r>
      <rPr>
        <i/>
        <sz val="16"/>
        <color theme="1"/>
        <rFont val="Calibri"/>
        <family val="2"/>
        <scheme val="minor"/>
      </rPr>
      <t>W. aegyptia</t>
    </r>
    <r>
      <rPr>
        <sz val="16"/>
        <color theme="1"/>
        <rFont val="Calibri"/>
        <family val="2"/>
        <scheme val="minor"/>
      </rPr>
      <t xml:space="preserve"> (Sinai Peninsula, Egypt))</t>
    </r>
  </si>
  <si>
    <t>Protein matching by transcriptome-assisted top-down MS/MS analysis</t>
  </si>
  <si>
    <t>Kunitz_W.aegyptia_T1936_Partial Kunitz_W.aegyptia_T1936_Partial</t>
  </si>
  <si>
    <t>Kunitz_W.aegyptia_T1653_T1604_Complete Kunitz_W.aegyptia_T1653_T1604_Complete</t>
  </si>
  <si>
    <r>
      <rPr>
        <b/>
        <sz val="12"/>
        <color theme="1"/>
        <rFont val="Symbol"/>
        <charset val="2"/>
      </rPr>
      <t>m</t>
    </r>
    <r>
      <rPr>
        <b/>
        <sz val="12"/>
        <color theme="1"/>
        <rFont val="Calibri"/>
        <family val="2"/>
        <scheme val="minor"/>
      </rPr>
      <t>g S/mg venom</t>
    </r>
  </si>
  <si>
    <t>1.00</t>
  </si>
  <si>
    <t>8,98 ± 0,87</t>
  </si>
  <si>
    <t>13,67 ± 0,17</t>
  </si>
  <si>
    <t xml:space="preserve">Transcriptomics database </t>
  </si>
  <si>
    <r>
      <t xml:space="preserve">Bottom-up and Top-down MS/MS identification of peptides/proteins in the RP-HPLC fractions of the venom of adult </t>
    </r>
    <r>
      <rPr>
        <b/>
        <i/>
        <sz val="14"/>
        <rFont val="Calibri"/>
        <family val="2"/>
        <scheme val="minor"/>
      </rPr>
      <t>Walterinnesia aegyptia</t>
    </r>
    <r>
      <rPr>
        <b/>
        <sz val="14"/>
        <rFont val="Calibri"/>
        <family val="2"/>
        <scheme val="minor"/>
      </rPr>
      <t xml:space="preserve"> (Sinai, Egypt) displayed in Figure 2A to toxin family classes and specific venom proteins. C, carbamidomethyl cysteine.</t>
    </r>
  </si>
  <si>
    <r>
      <t xml:space="preserve">Table S3. Bottom-up and Top-down MS/MS identification of peptides/proteins in the RP-HPLC fractions of the venom of adult </t>
    </r>
    <r>
      <rPr>
        <b/>
        <i/>
        <sz val="14"/>
        <rFont val="Calibri"/>
        <family val="2"/>
        <scheme val="minor"/>
      </rPr>
      <t>Walterinnesia aegyptia</t>
    </r>
    <r>
      <rPr>
        <b/>
        <sz val="14"/>
        <rFont val="Calibri"/>
        <family val="2"/>
        <scheme val="minor"/>
      </rPr>
      <t xml:space="preserve"> (Riyadh, Saudi Arabia</t>
    </r>
    <r>
      <rPr>
        <b/>
        <i/>
        <sz val="14"/>
        <rFont val="Calibri"/>
        <family val="2"/>
        <scheme val="minor"/>
      </rPr>
      <t>)</t>
    </r>
    <r>
      <rPr>
        <b/>
        <sz val="14"/>
        <rFont val="Calibri"/>
        <family val="2"/>
        <scheme val="minor"/>
      </rPr>
      <t xml:space="preserve"> displayed in Figure 2B to toxin family classes and specific venom proteins. C, carbamidomethyl cysteine.</t>
    </r>
  </si>
  <si>
    <r>
      <t xml:space="preserve">Table S4. Bottom-up and Top-down MS/MS identification of peptides/proteins in the RP-HPLC fractions of the venom of adult </t>
    </r>
    <r>
      <rPr>
        <b/>
        <i/>
        <sz val="14"/>
        <rFont val="Calibri"/>
        <family val="2"/>
        <scheme val="minor"/>
      </rPr>
      <t>Walterinnesia morgani</t>
    </r>
    <r>
      <rPr>
        <b/>
        <sz val="14"/>
        <rFont val="Calibri"/>
        <family val="2"/>
        <scheme val="minor"/>
      </rPr>
      <t xml:space="preserve"> (Çörten village, Turkey) displayed in Figure 2C to toxin family classes and specific venom proteins. C, carbamidomethyl cysteine.</t>
    </r>
  </si>
  <si>
    <t>RP-HPLC (Fig.3A)</t>
  </si>
  <si>
    <t>RP-HPLC (Fig.3B)</t>
  </si>
  <si>
    <t>RP-HPLC (Fig.3C)</t>
  </si>
  <si>
    <t>#</t>
  </si>
  <si>
    <t># = manual comparison between different venoms by MS1, MS2 and RT, but no TD annotation by Toppic</t>
  </si>
  <si>
    <t>TIC
retention time (in min)</t>
  </si>
  <si>
    <t>2-3</t>
  </si>
  <si>
    <t>Actiflagelin (P63T)</t>
  </si>
  <si>
    <t>.MECYKCGVSGCHLKITCSAEEKFCYKWRDKISNERWLGCAKTCTEENTWRVYNSCCTTNLCNT.</t>
  </si>
  <si>
    <t>46.68-47.37</t>
  </si>
  <si>
    <r>
      <rPr>
        <sz val="12"/>
        <color theme="1"/>
        <rFont val="Calibri"/>
        <family val="2"/>
        <scheme val="minor"/>
      </rPr>
      <t xml:space="preserve">~ MTLP-2 </t>
    </r>
    <r>
      <rPr>
        <sz val="12"/>
        <color theme="1"/>
        <rFont val="Calibri"/>
        <family val="2"/>
        <scheme val="minor"/>
      </rPr>
      <t>[Naja kaouthia]</t>
    </r>
  </si>
  <si>
    <t>1-2</t>
  </si>
  <si>
    <t>22.36-24.34</t>
  </si>
  <si>
    <t>10-12</t>
  </si>
  <si>
    <t>60.10-61.50</t>
  </si>
  <si>
    <t>17</t>
  </si>
  <si>
    <t>5-7</t>
  </si>
  <si>
    <t>8</t>
  </si>
  <si>
    <t>16</t>
  </si>
  <si>
    <t xml:space="preserve">RP-HPLC/ SDS-PAGE proteome decomplexation. ▼, reduced ; ∎, non-reduced. # = manual comparison between different venoms by MS1, MS2 and RT, but no TD annotation by Toppic					</t>
  </si>
  <si>
    <r>
      <t>▼</t>
    </r>
    <r>
      <rPr>
        <b/>
        <sz val="14"/>
        <color rgb="FF000000"/>
        <rFont val="Calibri"/>
        <family val="2"/>
        <scheme val="minor"/>
      </rPr>
      <t>, reduced ; ∎, non-reduced.</t>
    </r>
    <r>
      <rPr>
        <b/>
        <sz val="14"/>
        <color rgb="FF000000"/>
        <rFont val="Calibri (Cuerpo)"/>
      </rPr>
      <t xml:space="preserve"> # = manual comparison between different venoms by MS1, MS2 and RT, but no TD annotation by Toppic					</t>
    </r>
  </si>
  <si>
    <r>
      <rPr>
        <b/>
        <sz val="10"/>
        <color theme="1"/>
        <rFont val="Calibri (Cuerpo)_x0000_"/>
      </rPr>
      <t>▼</t>
    </r>
    <r>
      <rPr>
        <b/>
        <sz val="14"/>
        <color theme="1"/>
        <rFont val="Calibri"/>
        <family val="2"/>
        <scheme val="minor"/>
      </rPr>
      <t xml:space="preserve">, reduced ; ∎, non-reduced.  				</t>
    </r>
  </si>
  <si>
    <r>
      <t xml:space="preserve"> </t>
    </r>
    <r>
      <rPr>
        <b/>
        <i/>
        <sz val="12"/>
        <rFont val="Calibri"/>
        <family val="2"/>
        <scheme val="minor"/>
      </rPr>
      <t>W. aegyptia</t>
    </r>
    <r>
      <rPr>
        <b/>
        <sz val="12"/>
        <rFont val="Calibri"/>
        <family val="2"/>
        <scheme val="minor"/>
      </rPr>
      <t xml:space="preserve"> C1IC48</t>
    </r>
  </si>
  <si>
    <t xml:space="preserve">                   Data from Kazandjian, TD et al., "Convergent Evolution of Pain-Inducing Defensive Venom Components in Spitting Cobras", Science 371 (2021) 386-390, publicly available in the MassIVE repository under accession number </t>
  </si>
  <si>
    <t xml:space="preserve">                   MSV000081885, and in ProteomXchange (accession number PXD008597).</t>
  </si>
  <si>
    <t>GenBank Database code/</t>
  </si>
  <si>
    <t>~ P82463</t>
  </si>
  <si>
    <t>~ Q9W717</t>
  </si>
  <si>
    <t>~ P82849</t>
  </si>
  <si>
    <t>UniProtKB/Swiss-Prot code</t>
  </si>
  <si>
    <t>~ Acidic PLA2 PL-II</t>
  </si>
  <si>
    <t xml:space="preserve">Protein </t>
  </si>
  <si>
    <t>Protein</t>
  </si>
  <si>
    <r>
      <t xml:space="preserve">&gt;116 </t>
    </r>
    <r>
      <rPr>
        <vertAlign val="superscript"/>
        <sz val="12"/>
        <color theme="1"/>
        <rFont val="Calibri (Cuerpo)_x0000_"/>
      </rPr>
      <t>∎</t>
    </r>
  </si>
  <si>
    <t>~ MTLP-2 [Naja kaouthia]</t>
  </si>
  <si>
    <t>Three-finger toxin III</t>
  </si>
  <si>
    <t>Three-finger toxin V</t>
  </si>
  <si>
    <t>Acidic phospholipase A2 II</t>
  </si>
  <si>
    <t>Venom nerve growth factor</t>
  </si>
  <si>
    <r>
      <t xml:space="preserve">Table S5. Non-redundant Top-Down MS identifications of proteins in the proteomes of </t>
    </r>
    <r>
      <rPr>
        <b/>
        <i/>
        <sz val="14"/>
        <color theme="1"/>
        <rFont val="Calibri"/>
        <family val="2"/>
        <scheme val="minor"/>
      </rPr>
      <t>Walterinnesia aegyptia</t>
    </r>
    <r>
      <rPr>
        <b/>
        <sz val="14"/>
        <color theme="1"/>
        <rFont val="Calibri"/>
        <family val="2"/>
        <scheme val="minor"/>
      </rPr>
      <t xml:space="preserve"> and </t>
    </r>
    <r>
      <rPr>
        <b/>
        <i/>
        <sz val="14"/>
        <color theme="1"/>
        <rFont val="Calibri"/>
        <family val="2"/>
        <scheme val="minor"/>
      </rPr>
      <t>W. morgani venoms.</t>
    </r>
    <r>
      <rPr>
        <b/>
        <sz val="14"/>
        <color theme="1"/>
        <rFont val="Calibri"/>
        <family val="2"/>
        <scheme val="minor"/>
      </rPr>
      <t xml:space="preserve"># = manual comparison between different venoms by MS1, MS2 and RT, but no TD annotation by Toppic	</t>
    </r>
  </si>
  <si>
    <t>mg toxin/ 665,12 mg V</t>
  </si>
  <si>
    <t>42,43 ± 3,02</t>
  </si>
  <si>
    <t>10,44 ± 3,23</t>
  </si>
  <si>
    <t>26,57 ± 0,47</t>
  </si>
  <si>
    <t>23,50 ± 0,9</t>
  </si>
  <si>
    <t>13,47 ± 0,37</t>
  </si>
  <si>
    <t>40,1</t>
  </si>
  <si>
    <t>40,35 ± 0,26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</si>
</sst>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"/>
    <numFmt numFmtId="167" formatCode="0.0000"/>
  </numFmts>
  <fonts count="4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vertAlign val="subscript"/>
      <sz val="12"/>
      <name val="Calibri (Cuerpo)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mbria"/>
      <family val="1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charset val="2"/>
      <scheme val="minor"/>
    </font>
    <font>
      <i/>
      <sz val="11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 (Cuerpo)"/>
    </font>
    <font>
      <i/>
      <sz val="12"/>
      <name val="Cambria"/>
      <family val="1"/>
    </font>
    <font>
      <i/>
      <sz val="11"/>
      <color rgb="FF000000"/>
      <name val="Calibri"/>
      <family val="2"/>
      <scheme val="minor"/>
    </font>
    <font>
      <sz val="11"/>
      <color rgb="FF000000"/>
      <name val="Calibri (Cuerpo)"/>
    </font>
    <font>
      <i/>
      <sz val="11"/>
      <name val="Calibri"/>
      <family val="2"/>
      <scheme val="minor"/>
    </font>
    <font>
      <b/>
      <sz val="12"/>
      <color theme="1"/>
      <name val="Symbol"/>
      <charset val="2"/>
    </font>
    <font>
      <b/>
      <sz val="12"/>
      <color theme="1"/>
      <name val="Calibri"/>
      <family val="2"/>
      <charset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theme="1"/>
      <name val="Calibri (Cuerpo)_x0000_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0"/>
      <color theme="1"/>
      <name val="Calibri (Cuerpo)_x0000_"/>
    </font>
    <font>
      <b/>
      <sz val="14"/>
      <color rgb="FF000000"/>
      <name val="Calibri"/>
      <family val="2"/>
      <scheme val="minor"/>
    </font>
    <font>
      <b/>
      <sz val="14"/>
      <color rgb="FF000000"/>
      <name val="Calibri (Cuerpo)"/>
    </font>
    <font>
      <vertAlign val="superscript"/>
      <sz val="12"/>
      <color theme="1"/>
      <name val="Calibri (Cuerpo)_x0000_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3">
    <xf numFmtId="0" fontId="0" fillId="0" borderId="0" xfId="0"/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" fontId="3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13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Border="1"/>
    <xf numFmtId="164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/>
    <xf numFmtId="2" fontId="0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13" fillId="0" borderId="0" xfId="0" applyFont="1"/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2" fontId="0" fillId="0" borderId="0" xfId="0" applyNumberFormat="1" applyFont="1" applyFill="1"/>
    <xf numFmtId="165" fontId="2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0" fontId="25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9" fillId="0" borderId="0" xfId="0" applyFont="1" applyFill="1" applyAlignment="1"/>
    <xf numFmtId="0" fontId="7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vertical="center"/>
    </xf>
    <xf numFmtId="0" fontId="27" fillId="0" borderId="0" xfId="0" applyFont="1" applyFill="1"/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/>
    <xf numFmtId="2" fontId="24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/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/>
    <xf numFmtId="165" fontId="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 vertical="center" inden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2" fontId="0" fillId="0" borderId="0" xfId="0" applyNumberFormat="1" applyFill="1" applyAlignment="1">
      <alignment horizontal="center"/>
    </xf>
    <xf numFmtId="2" fontId="13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2" fontId="0" fillId="0" borderId="0" xfId="0" applyNumberForma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 wrapText="1"/>
    </xf>
    <xf numFmtId="10" fontId="0" fillId="0" borderId="0" xfId="0" applyNumberFormat="1" applyFill="1"/>
    <xf numFmtId="10" fontId="0" fillId="0" borderId="0" xfId="0" applyNumberFormat="1" applyFill="1" applyAlignment="1">
      <alignment horizontal="right"/>
    </xf>
    <xf numFmtId="10" fontId="0" fillId="0" borderId="0" xfId="0" applyNumberFormat="1" applyFont="1" applyFill="1"/>
    <xf numFmtId="0" fontId="13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/>
    <xf numFmtId="10" fontId="0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/>
    <xf numFmtId="0" fontId="13" fillId="0" borderId="1" xfId="0" applyFont="1" applyFill="1" applyBorder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left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3" fillId="0" borderId="1" xfId="0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0" fontId="0" fillId="0" borderId="2" xfId="0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2" fontId="7" fillId="0" borderId="0" xfId="0" applyNumberFormat="1" applyFont="1"/>
    <xf numFmtId="2" fontId="7" fillId="0" borderId="0" xfId="0" applyNumberFormat="1" applyFont="1" applyFill="1"/>
    <xf numFmtId="2" fontId="0" fillId="0" borderId="0" xfId="0" applyNumberFormat="1" applyFont="1"/>
    <xf numFmtId="2" fontId="1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9" fillId="0" borderId="0" xfId="0" applyFont="1" applyFill="1" applyBorder="1"/>
    <xf numFmtId="167" fontId="0" fillId="0" borderId="0" xfId="0" applyNumberForma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/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1" applyFont="1" applyAlignment="1">
      <alignment horizontal="center"/>
    </xf>
    <xf numFmtId="0" fontId="3" fillId="0" borderId="0" xfId="0" applyFont="1" applyFill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1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7" fillId="0" borderId="0" xfId="1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0" fillId="0" borderId="0" xfId="0" applyFont="1" applyAlignmen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0" fillId="0" borderId="0" xfId="0" applyNumberFormat="1" applyFill="1"/>
    <xf numFmtId="0" fontId="13" fillId="0" borderId="0" xfId="0" applyFont="1" applyFill="1"/>
    <xf numFmtId="11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9" fontId="1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quotePrefix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quotePrefix="1"/>
    <xf numFmtId="0" fontId="44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47BF5-C597-0C4C-8F7F-CF55934C0C68}">
  <dimension ref="D6:F14"/>
  <sheetViews>
    <sheetView topLeftCell="A5" workbookViewId="0">
      <selection activeCell="J19" sqref="J19"/>
    </sheetView>
  </sheetViews>
  <sheetFormatPr baseColWidth="10" defaultRowHeight="22" customHeight="1"/>
  <cols>
    <col min="1" max="3" width="10.83203125" style="195"/>
    <col min="4" max="4" width="10.83203125" style="229"/>
    <col min="5" max="5" width="1.5" style="195" customWidth="1"/>
    <col min="6" max="16384" width="10.83203125" style="195"/>
  </cols>
  <sheetData>
    <row r="6" spans="4:6" ht="22" customHeight="1">
      <c r="D6" s="229" t="s">
        <v>724</v>
      </c>
    </row>
    <row r="7" spans="4:6" ht="22" customHeight="1">
      <c r="D7" s="230" t="s">
        <v>725</v>
      </c>
      <c r="F7" s="196" t="s">
        <v>959</v>
      </c>
    </row>
    <row r="8" spans="4:6" ht="22" customHeight="1">
      <c r="D8" s="230" t="s">
        <v>726</v>
      </c>
      <c r="F8" s="195" t="s">
        <v>949</v>
      </c>
    </row>
    <row r="9" spans="4:6" ht="22" customHeight="1">
      <c r="D9" s="230" t="s">
        <v>727</v>
      </c>
      <c r="F9" s="195" t="s">
        <v>733</v>
      </c>
    </row>
    <row r="10" spans="4:6" ht="22" customHeight="1">
      <c r="D10" s="230" t="s">
        <v>728</v>
      </c>
      <c r="F10" s="195" t="s">
        <v>950</v>
      </c>
    </row>
    <row r="11" spans="4:6" ht="22" customHeight="1">
      <c r="D11" s="230" t="s">
        <v>729</v>
      </c>
      <c r="F11" s="195" t="s">
        <v>734</v>
      </c>
    </row>
    <row r="12" spans="4:6" ht="22" customHeight="1">
      <c r="D12" s="230" t="s">
        <v>730</v>
      </c>
      <c r="F12" s="195" t="s">
        <v>951</v>
      </c>
    </row>
    <row r="13" spans="4:6" ht="22" customHeight="1">
      <c r="D13" s="230" t="s">
        <v>731</v>
      </c>
      <c r="F13" s="195" t="s">
        <v>948</v>
      </c>
    </row>
    <row r="14" spans="4:6" ht="22" customHeight="1">
      <c r="D14" s="230" t="s">
        <v>732</v>
      </c>
      <c r="F14" s="195" t="s">
        <v>947</v>
      </c>
    </row>
  </sheetData>
  <hyperlinks>
    <hyperlink ref="D8" location="'W. aegyptia (Sinai)'!A1" display="Table S1" xr:uid="{4A5329F8-A7B9-FD4E-93EC-7D1AC0F536C7}"/>
    <hyperlink ref="D9" location="'W. aegyptia (Riyadh)'!A1" display="Table S2" xr:uid="{17EC27E4-1913-F845-9830-0E5E97F7D0F1}"/>
    <hyperlink ref="D10" location="'W. morgani'!A1" display="Table S3" xr:uid="{5BF62F2C-D2F5-654F-AB2D-DF9104AB8EC1}"/>
    <hyperlink ref="D11" location="'Top-Down MS IDs'!A1" display="Table S4" xr:uid="{63F21ED1-3949-F74E-BA26-39F1E329F2AF}"/>
    <hyperlink ref="D7" location="'Transcriptomic database'!A1" display="Table S5" xr:uid="{FFCA32F5-F711-9B4E-B908-FF9BFFCD5F4E}"/>
    <hyperlink ref="D12" location="'W. aegyptia (Sinai) ICP-MS'!A1" display="Table S6" xr:uid="{2D107A09-FF3B-5347-BF52-62E3C1B87D1B}"/>
    <hyperlink ref="D13" location="'W. aegyptia (Riyadh) ICP-MS'!A1" display="Table S7" xr:uid="{A7F8399B-DDF8-C34E-9C05-7189FDDD777D}"/>
    <hyperlink ref="D14" location="'W. morgani ICP-MS'!A1" display="Table S8" xr:uid="{277C9D59-8EE9-B542-8F7B-32731B0557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B7A16-F480-B248-91B3-4D7666C3CED7}">
  <dimension ref="B3:I139"/>
  <sheetViews>
    <sheetView topLeftCell="A2" workbookViewId="0">
      <selection activeCell="C26" sqref="C26"/>
    </sheetView>
  </sheetViews>
  <sheetFormatPr baseColWidth="10" defaultRowHeight="16"/>
  <cols>
    <col min="2" max="2" width="10.83203125" style="22"/>
    <col min="4" max="4" width="23.1640625" style="22" customWidth="1"/>
    <col min="5" max="5" width="19" style="22" customWidth="1"/>
    <col min="6" max="6" width="15.5" style="22" customWidth="1"/>
    <col min="7" max="7" width="17" style="22" customWidth="1"/>
    <col min="8" max="8" width="67.83203125" customWidth="1"/>
    <col min="9" max="9" width="89.83203125" customWidth="1"/>
  </cols>
  <sheetData>
    <row r="3" spans="2:9" s="80" customFormat="1" ht="19">
      <c r="B3" s="81"/>
      <c r="D3" s="234" t="s">
        <v>914</v>
      </c>
      <c r="E3" s="234"/>
      <c r="F3" s="234"/>
      <c r="G3" s="234"/>
      <c r="H3" s="234"/>
      <c r="I3" s="234"/>
    </row>
    <row r="4" spans="2:9" s="80" customFormat="1" ht="19">
      <c r="B4" s="81"/>
      <c r="D4" s="89" t="s">
        <v>986</v>
      </c>
      <c r="F4" s="89"/>
      <c r="G4" s="89"/>
      <c r="H4" s="89"/>
      <c r="I4" s="89"/>
    </row>
    <row r="5" spans="2:9" s="80" customFormat="1" ht="19">
      <c r="B5" s="81"/>
      <c r="D5" s="89" t="s">
        <v>987</v>
      </c>
      <c r="F5" s="89"/>
      <c r="G5" s="89"/>
      <c r="H5" s="89"/>
      <c r="I5" s="89"/>
    </row>
    <row r="7" spans="2:9" s="82" customFormat="1" ht="19">
      <c r="D7" s="231" t="s">
        <v>787</v>
      </c>
      <c r="E7" s="231" t="s">
        <v>508</v>
      </c>
      <c r="F7" s="83" t="s">
        <v>509</v>
      </c>
      <c r="G7" s="258" t="s">
        <v>815</v>
      </c>
      <c r="H7" s="258"/>
      <c r="I7" s="84" t="s">
        <v>814</v>
      </c>
    </row>
    <row r="8" spans="2:9" s="85" customFormat="1" ht="6" customHeight="1">
      <c r="D8" s="86"/>
      <c r="E8" s="86"/>
      <c r="F8" s="87"/>
      <c r="G8" s="233"/>
      <c r="I8" s="88"/>
    </row>
    <row r="9" spans="2:9">
      <c r="D9" s="235">
        <v>7104.1551079999999</v>
      </c>
      <c r="E9" s="236">
        <v>146842751.30000001</v>
      </c>
      <c r="F9" s="235">
        <f t="shared" ref="F9:F40" si="0">(E9*100)/$E$133</f>
        <v>3.8880791333429539E-2</v>
      </c>
      <c r="G9" t="s">
        <v>510</v>
      </c>
      <c r="I9" t="s">
        <v>816</v>
      </c>
    </row>
    <row r="10" spans="2:9" ht="16" customHeight="1">
      <c r="B10" s="224"/>
      <c r="D10" s="235">
        <v>6856.1107670000001</v>
      </c>
      <c r="E10" s="236">
        <v>24948797080</v>
      </c>
      <c r="F10" s="235">
        <f t="shared" si="0"/>
        <v>6.6059030132565768</v>
      </c>
      <c r="G10" t="s">
        <v>792</v>
      </c>
      <c r="I10" t="s">
        <v>817</v>
      </c>
    </row>
    <row r="11" spans="2:9" ht="16" customHeight="1">
      <c r="B11" s="225" t="s">
        <v>724</v>
      </c>
      <c r="D11" s="235">
        <v>6872.102116</v>
      </c>
      <c r="E11" s="236">
        <v>784378353.89999998</v>
      </c>
      <c r="F11" s="235">
        <f t="shared" si="0"/>
        <v>0.207686459389057</v>
      </c>
      <c r="G11" t="s">
        <v>510</v>
      </c>
      <c r="I11" t="s">
        <v>410</v>
      </c>
    </row>
    <row r="12" spans="2:9" ht="16" customHeight="1">
      <c r="B12" s="225" t="s">
        <v>725</v>
      </c>
      <c r="D12" s="235">
        <v>6889.1016950000003</v>
      </c>
      <c r="E12" s="236">
        <v>46054224.219999999</v>
      </c>
      <c r="F12" s="235">
        <f t="shared" si="0"/>
        <v>1.2194164615334313E-2</v>
      </c>
      <c r="G12" t="s">
        <v>510</v>
      </c>
      <c r="I12" t="s">
        <v>818</v>
      </c>
    </row>
    <row r="13" spans="2:9" ht="16" customHeight="1">
      <c r="B13" s="225" t="s">
        <v>726</v>
      </c>
      <c r="D13" s="235">
        <v>6872.1047500000004</v>
      </c>
      <c r="E13" s="236">
        <v>784378353.89999998</v>
      </c>
      <c r="F13" s="235">
        <f t="shared" si="0"/>
        <v>0.207686459389057</v>
      </c>
      <c r="G13" t="s">
        <v>511</v>
      </c>
      <c r="I13" t="s">
        <v>819</v>
      </c>
    </row>
    <row r="14" spans="2:9" ht="16" customHeight="1">
      <c r="B14" s="225" t="s">
        <v>727</v>
      </c>
      <c r="D14" s="235">
        <v>6840.1200669999998</v>
      </c>
      <c r="E14" s="236">
        <v>1530672153</v>
      </c>
      <c r="F14" s="235">
        <f t="shared" si="0"/>
        <v>0.40528895062104664</v>
      </c>
      <c r="G14" t="s">
        <v>510</v>
      </c>
      <c r="I14" t="s">
        <v>820</v>
      </c>
    </row>
    <row r="15" spans="2:9" ht="16" customHeight="1">
      <c r="B15" s="225" t="s">
        <v>728</v>
      </c>
      <c r="D15" s="235">
        <v>6792.1664410000003</v>
      </c>
      <c r="E15" s="236">
        <v>98436870.840000004</v>
      </c>
      <c r="F15" s="235">
        <f t="shared" si="0"/>
        <v>2.6063958899997772E-2</v>
      </c>
      <c r="G15" t="s">
        <v>510</v>
      </c>
      <c r="I15" t="s">
        <v>821</v>
      </c>
    </row>
    <row r="16" spans="2:9" ht="16" customHeight="1">
      <c r="B16" s="225" t="s">
        <v>729</v>
      </c>
      <c r="D16" s="235">
        <v>6873.1080590000001</v>
      </c>
      <c r="E16" s="236">
        <v>784378353.89999998</v>
      </c>
      <c r="F16" s="235">
        <f t="shared" si="0"/>
        <v>0.207686459389057</v>
      </c>
      <c r="G16" t="s">
        <v>512</v>
      </c>
      <c r="I16" t="s">
        <v>822</v>
      </c>
    </row>
    <row r="17" spans="2:9" ht="16" customHeight="1">
      <c r="B17" s="225" t="s">
        <v>730</v>
      </c>
      <c r="D17" s="235">
        <v>6856.1097419999996</v>
      </c>
      <c r="E17" s="236">
        <v>24948797080</v>
      </c>
      <c r="F17" s="235">
        <f t="shared" si="0"/>
        <v>6.6059030132565768</v>
      </c>
      <c r="G17" t="s">
        <v>513</v>
      </c>
      <c r="I17" t="s">
        <v>823</v>
      </c>
    </row>
    <row r="18" spans="2:9" ht="16" customHeight="1">
      <c r="B18" s="225" t="s">
        <v>731</v>
      </c>
      <c r="D18" s="235">
        <v>6838.0990460000003</v>
      </c>
      <c r="E18" s="236">
        <v>1530672153</v>
      </c>
      <c r="F18" s="235">
        <f t="shared" si="0"/>
        <v>0.40528895062104664</v>
      </c>
      <c r="G18" t="s">
        <v>811</v>
      </c>
      <c r="I18" t="s">
        <v>698</v>
      </c>
    </row>
    <row r="19" spans="2:9" ht="16" customHeight="1">
      <c r="B19" s="225" t="s">
        <v>732</v>
      </c>
      <c r="D19" s="235">
        <v>6894.0612030000002</v>
      </c>
      <c r="E19" s="236">
        <v>1302429394</v>
      </c>
      <c r="F19" s="235">
        <f t="shared" si="0"/>
        <v>0.34485519405164594</v>
      </c>
      <c r="G19" t="s">
        <v>510</v>
      </c>
      <c r="I19" t="s">
        <v>719</v>
      </c>
    </row>
    <row r="20" spans="2:9" ht="16" customHeight="1">
      <c r="B20" s="224"/>
      <c r="D20" s="235">
        <v>6914.1135270000004</v>
      </c>
      <c r="E20" s="236">
        <v>170921352.19999999</v>
      </c>
      <c r="F20" s="235">
        <f t="shared" si="0"/>
        <v>4.5256285179095634E-2</v>
      </c>
      <c r="G20" t="s">
        <v>510</v>
      </c>
      <c r="I20" t="s">
        <v>662</v>
      </c>
    </row>
    <row r="21" spans="2:9">
      <c r="D21" s="235">
        <v>6857.1167610000002</v>
      </c>
      <c r="E21" s="236">
        <v>24948797080</v>
      </c>
      <c r="F21" s="235">
        <f t="shared" si="0"/>
        <v>6.6059030132565768</v>
      </c>
      <c r="G21" t="s">
        <v>512</v>
      </c>
      <c r="I21" t="s">
        <v>824</v>
      </c>
    </row>
    <row r="22" spans="2:9">
      <c r="D22" s="235">
        <v>7031.1357680000001</v>
      </c>
      <c r="E22" s="236">
        <v>199138590.40000001</v>
      </c>
      <c r="F22" s="235">
        <f t="shared" si="0"/>
        <v>5.2727600860306777E-2</v>
      </c>
      <c r="G22" t="s">
        <v>510</v>
      </c>
      <c r="I22" t="s">
        <v>825</v>
      </c>
    </row>
    <row r="23" spans="2:9">
      <c r="D23" s="235">
        <v>6856.1136969999998</v>
      </c>
      <c r="E23" s="236">
        <v>24948797080</v>
      </c>
      <c r="F23" s="235">
        <f t="shared" si="0"/>
        <v>6.6059030132565768</v>
      </c>
      <c r="G23" t="s">
        <v>510</v>
      </c>
      <c r="I23" t="s">
        <v>826</v>
      </c>
    </row>
    <row r="24" spans="2:9">
      <c r="D24" s="235">
        <v>6753.1327819999997</v>
      </c>
      <c r="E24" s="236">
        <v>219002194</v>
      </c>
      <c r="F24" s="235">
        <f t="shared" si="0"/>
        <v>5.7987054390455664E-2</v>
      </c>
      <c r="G24" t="s">
        <v>515</v>
      </c>
      <c r="I24" t="s">
        <v>827</v>
      </c>
    </row>
    <row r="25" spans="2:9">
      <c r="D25" s="235">
        <v>6801.0979729999999</v>
      </c>
      <c r="E25" s="236">
        <v>294934775.60000002</v>
      </c>
      <c r="F25" s="235">
        <f t="shared" si="0"/>
        <v>7.8092363195019124E-2</v>
      </c>
      <c r="G25" t="s">
        <v>516</v>
      </c>
      <c r="I25" t="s">
        <v>828</v>
      </c>
    </row>
    <row r="26" spans="2:9">
      <c r="D26" s="235">
        <v>6786.0896720000001</v>
      </c>
      <c r="E26" s="236">
        <v>10339498350</v>
      </c>
      <c r="F26" s="235">
        <f t="shared" si="0"/>
        <v>2.7376760124671473</v>
      </c>
      <c r="G26" t="s">
        <v>812</v>
      </c>
      <c r="I26" t="s">
        <v>829</v>
      </c>
    </row>
    <row r="27" spans="2:9">
      <c r="D27" s="235">
        <v>6776.0765009999996</v>
      </c>
      <c r="E27" s="236">
        <v>82749614.120000005</v>
      </c>
      <c r="F27" s="235">
        <f t="shared" si="0"/>
        <v>2.191031188831678E-2</v>
      </c>
      <c r="G27" t="s">
        <v>517</v>
      </c>
      <c r="I27" t="s">
        <v>830</v>
      </c>
    </row>
    <row r="28" spans="2:9">
      <c r="D28" s="235">
        <v>6786.0864629999996</v>
      </c>
      <c r="E28" s="236">
        <v>10339498350</v>
      </c>
      <c r="F28" s="235">
        <f t="shared" si="0"/>
        <v>2.7376760124671473</v>
      </c>
      <c r="G28" t="s">
        <v>510</v>
      </c>
      <c r="I28" t="s">
        <v>831</v>
      </c>
    </row>
    <row r="29" spans="2:9">
      <c r="D29" s="235">
        <v>6785.1014519999999</v>
      </c>
      <c r="E29" s="236">
        <v>10339498350</v>
      </c>
      <c r="F29" s="235">
        <f t="shared" si="0"/>
        <v>2.7376760124671473</v>
      </c>
      <c r="G29" t="s">
        <v>518</v>
      </c>
      <c r="I29" t="s">
        <v>832</v>
      </c>
    </row>
    <row r="30" spans="2:9">
      <c r="D30" s="235">
        <v>6785.1011559999997</v>
      </c>
      <c r="E30" s="236">
        <v>10339498350</v>
      </c>
      <c r="F30" s="235">
        <f t="shared" si="0"/>
        <v>2.7376760124671473</v>
      </c>
      <c r="G30" t="s">
        <v>519</v>
      </c>
      <c r="I30" t="s">
        <v>833</v>
      </c>
    </row>
    <row r="31" spans="2:9">
      <c r="D31" s="235">
        <v>6825.0442700000003</v>
      </c>
      <c r="E31" s="236">
        <v>629383263.89999998</v>
      </c>
      <c r="F31" s="235">
        <f t="shared" si="0"/>
        <v>0.1666471047144478</v>
      </c>
      <c r="G31" t="s">
        <v>520</v>
      </c>
      <c r="I31" t="s">
        <v>701</v>
      </c>
    </row>
    <row r="32" spans="2:9">
      <c r="D32" s="235">
        <v>6653.9985219999999</v>
      </c>
      <c r="E32" s="236">
        <v>176617935.09999999</v>
      </c>
      <c r="F32" s="235">
        <f t="shared" si="0"/>
        <v>4.6764617385402399E-2</v>
      </c>
      <c r="G32" t="s">
        <v>521</v>
      </c>
      <c r="I32" t="s">
        <v>834</v>
      </c>
    </row>
    <row r="33" spans="4:9">
      <c r="D33" s="235">
        <v>6824.0419380000003</v>
      </c>
      <c r="E33" s="236">
        <v>629383263.89999998</v>
      </c>
      <c r="F33" s="235">
        <f t="shared" si="0"/>
        <v>0.1666471047144478</v>
      </c>
      <c r="G33" t="s">
        <v>522</v>
      </c>
      <c r="I33" t="s">
        <v>835</v>
      </c>
    </row>
    <row r="34" spans="4:9">
      <c r="D34" s="235">
        <v>6769.0687939999998</v>
      </c>
      <c r="E34" s="236">
        <v>291384792</v>
      </c>
      <c r="F34" s="235">
        <f t="shared" si="0"/>
        <v>7.7152404154707283E-2</v>
      </c>
      <c r="G34" t="s">
        <v>813</v>
      </c>
      <c r="I34" t="s">
        <v>836</v>
      </c>
    </row>
    <row r="35" spans="4:9">
      <c r="D35" s="235">
        <v>6785.0999389999997</v>
      </c>
      <c r="E35" s="236">
        <v>10339498350</v>
      </c>
      <c r="F35" s="235">
        <f t="shared" si="0"/>
        <v>2.7376760124671473</v>
      </c>
      <c r="G35" t="s">
        <v>523</v>
      </c>
      <c r="I35" t="s">
        <v>716</v>
      </c>
    </row>
    <row r="36" spans="4:9">
      <c r="D36" s="235">
        <v>5529.5216870000004</v>
      </c>
      <c r="E36" s="236">
        <v>689947294.79999995</v>
      </c>
      <c r="F36" s="235">
        <f t="shared" si="0"/>
        <v>0.18268315298300319</v>
      </c>
      <c r="G36" t="s">
        <v>953</v>
      </c>
      <c r="I36" t="s">
        <v>837</v>
      </c>
    </row>
    <row r="37" spans="4:9">
      <c r="D37" s="235">
        <v>6785.1102890000002</v>
      </c>
      <c r="E37" s="236">
        <v>10339498350</v>
      </c>
      <c r="F37" s="235">
        <f t="shared" si="0"/>
        <v>2.7376760124671473</v>
      </c>
      <c r="G37" t="s">
        <v>524</v>
      </c>
      <c r="I37" t="s">
        <v>838</v>
      </c>
    </row>
    <row r="38" spans="4:9">
      <c r="D38" s="235">
        <v>6785.1070060000002</v>
      </c>
      <c r="E38" s="236">
        <v>10339498350</v>
      </c>
      <c r="F38" s="235">
        <f t="shared" si="0"/>
        <v>2.7376760124671473</v>
      </c>
      <c r="G38" t="s">
        <v>525</v>
      </c>
      <c r="I38" t="s">
        <v>839</v>
      </c>
    </row>
    <row r="39" spans="4:9">
      <c r="D39" s="235">
        <v>6636.0709569999999</v>
      </c>
      <c r="E39" s="236">
        <v>64888583.43</v>
      </c>
      <c r="F39" s="235">
        <f t="shared" si="0"/>
        <v>1.718109644451795E-2</v>
      </c>
      <c r="G39" t="s">
        <v>953</v>
      </c>
      <c r="I39" t="s">
        <v>840</v>
      </c>
    </row>
    <row r="40" spans="4:9">
      <c r="D40" s="235">
        <v>6636.0688339999997</v>
      </c>
      <c r="E40" s="236">
        <v>64888583.43</v>
      </c>
      <c r="F40" s="235">
        <f t="shared" si="0"/>
        <v>1.718109644451795E-2</v>
      </c>
      <c r="G40" t="s">
        <v>526</v>
      </c>
      <c r="I40" t="s">
        <v>841</v>
      </c>
    </row>
    <row r="41" spans="4:9">
      <c r="D41" s="235">
        <v>6668.0411519999998</v>
      </c>
      <c r="E41" s="236">
        <v>5745859057</v>
      </c>
      <c r="F41" s="235">
        <f t="shared" ref="F41:F72" si="1">(E41*100)/$E$133</f>
        <v>1.5213794691853693</v>
      </c>
      <c r="G41" t="s">
        <v>953</v>
      </c>
      <c r="I41" t="s">
        <v>43</v>
      </c>
    </row>
    <row r="42" spans="4:9">
      <c r="D42" s="235">
        <v>6611.0180540000001</v>
      </c>
      <c r="E42" s="236">
        <v>58027095.57</v>
      </c>
      <c r="F42" s="235">
        <f t="shared" si="1"/>
        <v>1.5364322546183071E-2</v>
      </c>
      <c r="G42" t="s">
        <v>953</v>
      </c>
      <c r="I42" t="s">
        <v>842</v>
      </c>
    </row>
    <row r="43" spans="4:9">
      <c r="D43" s="235">
        <v>6705.983843</v>
      </c>
      <c r="E43" s="236">
        <v>220870994.40000001</v>
      </c>
      <c r="F43" s="235">
        <f t="shared" si="1"/>
        <v>5.8481872403282079E-2</v>
      </c>
      <c r="G43" t="s">
        <v>953</v>
      </c>
      <c r="I43" t="s">
        <v>843</v>
      </c>
    </row>
    <row r="44" spans="4:9">
      <c r="D44" s="235">
        <v>6786.0977899999998</v>
      </c>
      <c r="E44" s="236">
        <v>688602307.5</v>
      </c>
      <c r="F44" s="235">
        <f t="shared" si="1"/>
        <v>0.18232702937394213</v>
      </c>
      <c r="G44" t="s">
        <v>528</v>
      </c>
      <c r="I44" t="s">
        <v>844</v>
      </c>
    </row>
    <row r="45" spans="4:9">
      <c r="D45" s="235">
        <v>6781.1312589999998</v>
      </c>
      <c r="E45" s="236">
        <v>331025152</v>
      </c>
      <c r="F45" s="235">
        <f t="shared" si="1"/>
        <v>8.7648315950811212E-2</v>
      </c>
      <c r="G45" t="s">
        <v>953</v>
      </c>
      <c r="I45" t="s">
        <v>58</v>
      </c>
    </row>
    <row r="46" spans="4:9">
      <c r="D46" s="235">
        <v>6785.1093119999996</v>
      </c>
      <c r="E46" s="236">
        <v>688602307.5</v>
      </c>
      <c r="F46" s="235">
        <f t="shared" si="1"/>
        <v>0.18232702937394213</v>
      </c>
      <c r="G46" t="s">
        <v>512</v>
      </c>
      <c r="I46" t="s">
        <v>845</v>
      </c>
    </row>
    <row r="47" spans="4:9">
      <c r="D47" s="235">
        <v>6785.1130839999996</v>
      </c>
      <c r="E47" s="236">
        <v>688602307.5</v>
      </c>
      <c r="F47" s="235">
        <f t="shared" si="1"/>
        <v>0.18232702937394213</v>
      </c>
      <c r="G47" t="s">
        <v>953</v>
      </c>
      <c r="I47" t="s">
        <v>846</v>
      </c>
    </row>
    <row r="48" spans="4:9">
      <c r="D48" s="235">
        <v>6842.0609729999996</v>
      </c>
      <c r="E48" s="236">
        <v>68938329.879999995</v>
      </c>
      <c r="F48" s="235">
        <f t="shared" si="1"/>
        <v>1.8253381901455906E-2</v>
      </c>
      <c r="G48" t="s">
        <v>953</v>
      </c>
      <c r="I48" t="s">
        <v>847</v>
      </c>
    </row>
    <row r="49" spans="4:9">
      <c r="D49" s="235">
        <v>6787.0028670000002</v>
      </c>
      <c r="E49" s="236">
        <v>16978046.5</v>
      </c>
      <c r="F49" s="235">
        <f t="shared" si="1"/>
        <v>4.4954202871555953E-3</v>
      </c>
      <c r="G49" t="s">
        <v>530</v>
      </c>
      <c r="I49" t="s">
        <v>848</v>
      </c>
    </row>
    <row r="50" spans="4:9">
      <c r="D50" s="235">
        <v>6786.9840549999999</v>
      </c>
      <c r="E50" s="236">
        <v>16978046.5</v>
      </c>
      <c r="F50" s="235">
        <f t="shared" si="1"/>
        <v>4.4954202871555953E-3</v>
      </c>
      <c r="G50" t="s">
        <v>953</v>
      </c>
      <c r="I50" t="s">
        <v>849</v>
      </c>
    </row>
    <row r="51" spans="4:9">
      <c r="D51" s="235">
        <v>6786.1273789999996</v>
      </c>
      <c r="E51" s="236">
        <v>688602307.5</v>
      </c>
      <c r="F51" s="235">
        <f t="shared" si="1"/>
        <v>0.18232702937394213</v>
      </c>
      <c r="G51" t="s">
        <v>531</v>
      </c>
      <c r="I51" t="s">
        <v>850</v>
      </c>
    </row>
    <row r="52" spans="4:9">
      <c r="D52" s="235">
        <v>6785.1117059999997</v>
      </c>
      <c r="E52" s="236">
        <v>688602307.5</v>
      </c>
      <c r="F52" s="235">
        <f t="shared" si="1"/>
        <v>0.18232702937394213</v>
      </c>
      <c r="G52" t="s">
        <v>517</v>
      </c>
      <c r="I52" t="s">
        <v>851</v>
      </c>
    </row>
    <row r="53" spans="4:9">
      <c r="D53" s="235">
        <v>4974.1484769999997</v>
      </c>
      <c r="E53" s="236">
        <v>561200394.29999995</v>
      </c>
      <c r="F53" s="235">
        <f t="shared" si="1"/>
        <v>0.14859375239053202</v>
      </c>
      <c r="G53" t="s">
        <v>532</v>
      </c>
      <c r="I53" t="s">
        <v>852</v>
      </c>
    </row>
    <row r="54" spans="4:9">
      <c r="D54" s="235">
        <v>5012.0898029999998</v>
      </c>
      <c r="E54" s="236">
        <v>34413560.689999998</v>
      </c>
      <c r="F54" s="235">
        <f t="shared" si="1"/>
        <v>9.1119681453980181E-3</v>
      </c>
      <c r="G54" t="s">
        <v>532</v>
      </c>
      <c r="I54" t="s">
        <v>853</v>
      </c>
    </row>
    <row r="55" spans="4:9">
      <c r="D55" s="235">
        <v>4687.0561459999999</v>
      </c>
      <c r="E55" s="236">
        <v>1089823.5560000001</v>
      </c>
      <c r="F55" s="235">
        <f t="shared" si="1"/>
        <v>2.885617566816331E-4</v>
      </c>
      <c r="G55" t="s">
        <v>533</v>
      </c>
      <c r="I55" t="s">
        <v>854</v>
      </c>
    </row>
    <row r="56" spans="4:9">
      <c r="D56" s="235">
        <v>4974.1400800000001</v>
      </c>
      <c r="E56" s="236">
        <v>561200394.29999995</v>
      </c>
      <c r="F56" s="235">
        <f t="shared" si="1"/>
        <v>0.14859375239053202</v>
      </c>
      <c r="G56" t="s">
        <v>534</v>
      </c>
      <c r="I56" t="s">
        <v>855</v>
      </c>
    </row>
    <row r="57" spans="4:9">
      <c r="D57" s="235">
        <v>4974.1445229999999</v>
      </c>
      <c r="E57" s="236">
        <v>561200394.29999995</v>
      </c>
      <c r="F57" s="235">
        <f t="shared" si="1"/>
        <v>0.14859375239053202</v>
      </c>
      <c r="G57" t="s">
        <v>533</v>
      </c>
      <c r="I57" t="s">
        <v>856</v>
      </c>
    </row>
    <row r="58" spans="4:9">
      <c r="D58" s="235">
        <v>6116.8897040000002</v>
      </c>
      <c r="E58" s="236">
        <v>22709605.760000002</v>
      </c>
      <c r="F58" s="235">
        <f t="shared" si="1"/>
        <v>6.013013478718506E-3</v>
      </c>
      <c r="G58" t="s">
        <v>954</v>
      </c>
      <c r="I58" t="s">
        <v>857</v>
      </c>
    </row>
    <row r="59" spans="4:9">
      <c r="D59" s="235">
        <v>6285.0279069999997</v>
      </c>
      <c r="E59" s="236">
        <v>23330032.539999999</v>
      </c>
      <c r="F59" s="235">
        <f t="shared" si="1"/>
        <v>6.1772890997981531E-3</v>
      </c>
      <c r="G59" t="s">
        <v>954</v>
      </c>
      <c r="I59" t="s">
        <v>858</v>
      </c>
    </row>
    <row r="60" spans="4:9">
      <c r="D60" s="235">
        <v>6365.97516</v>
      </c>
      <c r="E60" s="236">
        <v>15880275.84</v>
      </c>
      <c r="F60" s="235">
        <f t="shared" si="1"/>
        <v>4.204754308851897E-3</v>
      </c>
      <c r="G60" t="s">
        <v>954</v>
      </c>
      <c r="I60" t="s">
        <v>859</v>
      </c>
    </row>
    <row r="61" spans="4:9">
      <c r="D61" s="235">
        <v>6581.0278280000002</v>
      </c>
      <c r="E61" s="236">
        <v>16015122.93</v>
      </c>
      <c r="F61" s="235">
        <f t="shared" si="1"/>
        <v>4.2404589079675778E-3</v>
      </c>
      <c r="G61" t="s">
        <v>954</v>
      </c>
      <c r="I61" t="s">
        <v>860</v>
      </c>
    </row>
    <row r="62" spans="4:9">
      <c r="D62" s="235">
        <v>6318.0093440000001</v>
      </c>
      <c r="E62" s="236">
        <v>86361425.079999998</v>
      </c>
      <c r="F62" s="235">
        <f t="shared" si="1"/>
        <v>2.2866641479177243E-2</v>
      </c>
      <c r="G62" t="s">
        <v>954</v>
      </c>
      <c r="I62" t="s">
        <v>861</v>
      </c>
    </row>
    <row r="63" spans="4:9">
      <c r="D63" s="235">
        <v>6386.9135399999996</v>
      </c>
      <c r="E63" s="236">
        <v>295857133.69999999</v>
      </c>
      <c r="F63" s="235">
        <f t="shared" si="1"/>
        <v>7.8336583713249072E-2</v>
      </c>
      <c r="G63" t="s">
        <v>954</v>
      </c>
      <c r="I63" t="s">
        <v>862</v>
      </c>
    </row>
    <row r="64" spans="4:9">
      <c r="D64" s="235">
        <v>6348.9704309999997</v>
      </c>
      <c r="E64" s="236">
        <v>5780091366</v>
      </c>
      <c r="F64" s="235">
        <f t="shared" si="1"/>
        <v>1.5304434457950917</v>
      </c>
      <c r="G64" t="s">
        <v>954</v>
      </c>
      <c r="I64" t="s">
        <v>49</v>
      </c>
    </row>
    <row r="65" spans="4:9">
      <c r="D65" s="235">
        <v>6095.8213040000001</v>
      </c>
      <c r="E65" s="236">
        <v>311036240.5</v>
      </c>
      <c r="F65" s="235">
        <f t="shared" si="1"/>
        <v>8.2355683593180573E-2</v>
      </c>
      <c r="G65" t="s">
        <v>954</v>
      </c>
      <c r="I65" t="s">
        <v>507</v>
      </c>
    </row>
    <row r="66" spans="4:9">
      <c r="D66" s="235">
        <v>5925.7141970000002</v>
      </c>
      <c r="E66" s="236">
        <v>13105170.800000001</v>
      </c>
      <c r="F66" s="235">
        <f t="shared" si="1"/>
        <v>3.4699663875322243E-3</v>
      </c>
      <c r="G66" t="s">
        <v>954</v>
      </c>
      <c r="I66" t="s">
        <v>863</v>
      </c>
    </row>
    <row r="67" spans="4:9">
      <c r="D67" s="235">
        <v>6522.9928790000004</v>
      </c>
      <c r="E67" s="236">
        <v>62760640.18</v>
      </c>
      <c r="F67" s="235">
        <f t="shared" si="1"/>
        <v>1.6617662997921733E-2</v>
      </c>
      <c r="G67" t="s">
        <v>954</v>
      </c>
      <c r="I67" t="s">
        <v>864</v>
      </c>
    </row>
    <row r="68" spans="4:9">
      <c r="D68" s="235">
        <v>7404.5243650000002</v>
      </c>
      <c r="E68" s="236">
        <v>16070789380</v>
      </c>
      <c r="F68" s="235">
        <f t="shared" si="1"/>
        <v>4.2551981825150902</v>
      </c>
      <c r="G68" t="s">
        <v>536</v>
      </c>
      <c r="I68" t="s">
        <v>632</v>
      </c>
    </row>
    <row r="69" spans="4:9">
      <c r="D69" s="235">
        <v>7372.5450049999999</v>
      </c>
      <c r="E69" s="236">
        <v>232584028.5</v>
      </c>
      <c r="F69" s="235">
        <f t="shared" si="1"/>
        <v>6.1583231038227819E-2</v>
      </c>
      <c r="G69" t="s">
        <v>537</v>
      </c>
      <c r="I69" t="s">
        <v>865</v>
      </c>
    </row>
    <row r="70" spans="4:9">
      <c r="D70" s="235">
        <v>7373.5516449999996</v>
      </c>
      <c r="E70" s="236">
        <v>232584028.5</v>
      </c>
      <c r="F70" s="235">
        <f t="shared" si="1"/>
        <v>6.1583231038227819E-2</v>
      </c>
      <c r="G70" t="s">
        <v>538</v>
      </c>
      <c r="I70" t="s">
        <v>866</v>
      </c>
    </row>
    <row r="71" spans="4:9">
      <c r="D71" s="235">
        <v>7404.5045769999997</v>
      </c>
      <c r="E71" s="236">
        <v>16070789380</v>
      </c>
      <c r="F71" s="235">
        <f t="shared" si="1"/>
        <v>4.2551981825150902</v>
      </c>
      <c r="G71" t="s">
        <v>539</v>
      </c>
      <c r="I71" t="s">
        <v>76</v>
      </c>
    </row>
    <row r="72" spans="4:9">
      <c r="D72" s="235">
        <v>7405.5290999999997</v>
      </c>
      <c r="E72" s="236">
        <v>16070789380</v>
      </c>
      <c r="F72" s="235">
        <f t="shared" si="1"/>
        <v>4.2551981825150902</v>
      </c>
      <c r="G72" t="s">
        <v>540</v>
      </c>
      <c r="I72" t="s">
        <v>867</v>
      </c>
    </row>
    <row r="73" spans="4:9">
      <c r="D73" s="235">
        <v>4409.9063569999998</v>
      </c>
      <c r="E73" s="236">
        <v>2296494528</v>
      </c>
      <c r="F73" s="235">
        <f t="shared" ref="F73:F104" si="2">(E73*100)/$E$133</f>
        <v>0.60806218727890826</v>
      </c>
      <c r="G73" t="s">
        <v>533</v>
      </c>
      <c r="I73" t="s">
        <v>868</v>
      </c>
    </row>
    <row r="74" spans="4:9">
      <c r="D74" s="235">
        <v>6395.884188</v>
      </c>
      <c r="E74" s="236">
        <v>14250493450</v>
      </c>
      <c r="F74" s="235">
        <f t="shared" si="2"/>
        <v>3.7732231065045045</v>
      </c>
      <c r="G74" t="s">
        <v>869</v>
      </c>
      <c r="I74" t="s">
        <v>707</v>
      </c>
    </row>
    <row r="75" spans="4:9">
      <c r="D75" s="235">
        <v>5555.4401470000003</v>
      </c>
      <c r="E75" s="236">
        <v>142505467</v>
      </c>
      <c r="F75" s="235">
        <f t="shared" si="2"/>
        <v>3.7732372059552446E-2</v>
      </c>
      <c r="G75" t="s">
        <v>541</v>
      </c>
      <c r="I75" t="s">
        <v>870</v>
      </c>
    </row>
    <row r="76" spans="4:9">
      <c r="D76" s="235">
        <v>7405.510792</v>
      </c>
      <c r="E76" s="236">
        <v>16070789380</v>
      </c>
      <c r="F76" s="235">
        <f t="shared" si="2"/>
        <v>4.2551981825150902</v>
      </c>
      <c r="G76" t="s">
        <v>542</v>
      </c>
      <c r="I76" t="s">
        <v>871</v>
      </c>
    </row>
    <row r="77" spans="4:9">
      <c r="D77" s="235">
        <v>7405.5070310000001</v>
      </c>
      <c r="E77" s="236">
        <v>16070789380</v>
      </c>
      <c r="F77" s="235">
        <f t="shared" si="2"/>
        <v>4.2551981825150902</v>
      </c>
      <c r="G77" t="s">
        <v>543</v>
      </c>
      <c r="I77" t="s">
        <v>872</v>
      </c>
    </row>
    <row r="78" spans="4:9">
      <c r="D78" s="235">
        <v>6569.9096159999999</v>
      </c>
      <c r="E78" s="236">
        <v>95017540.310000002</v>
      </c>
      <c r="F78" s="235">
        <f t="shared" si="2"/>
        <v>2.5158593972822406E-2</v>
      </c>
      <c r="G78" t="s">
        <v>532</v>
      </c>
      <c r="I78" t="s">
        <v>873</v>
      </c>
    </row>
    <row r="79" spans="4:9">
      <c r="D79" s="235">
        <v>5799.5405810000002</v>
      </c>
      <c r="E79" s="236">
        <v>12626793.17</v>
      </c>
      <c r="F79" s="235">
        <f t="shared" si="2"/>
        <v>3.3433023156189206E-3</v>
      </c>
      <c r="G79" t="s">
        <v>532</v>
      </c>
      <c r="I79" t="s">
        <v>69</v>
      </c>
    </row>
    <row r="80" spans="4:9">
      <c r="D80" s="235">
        <v>6569.9049290000003</v>
      </c>
      <c r="E80" s="236">
        <v>95017540.310000002</v>
      </c>
      <c r="F80" s="235">
        <f t="shared" si="2"/>
        <v>2.5158593972822406E-2</v>
      </c>
      <c r="G80" t="s">
        <v>869</v>
      </c>
      <c r="I80" t="s">
        <v>874</v>
      </c>
    </row>
    <row r="81" spans="4:9">
      <c r="D81" s="235">
        <v>6489.1453289999999</v>
      </c>
      <c r="E81" s="236">
        <v>18604131.18</v>
      </c>
      <c r="F81" s="235">
        <f t="shared" si="2"/>
        <v>4.9259724157002379E-3</v>
      </c>
      <c r="G81" t="s">
        <v>544</v>
      </c>
      <c r="I81" t="s">
        <v>875</v>
      </c>
    </row>
    <row r="82" spans="4:9">
      <c r="D82" s="235">
        <v>7405.5290029999996</v>
      </c>
      <c r="E82" s="236">
        <v>16070789380</v>
      </c>
      <c r="F82" s="235">
        <f t="shared" si="2"/>
        <v>4.2551981825150902</v>
      </c>
      <c r="G82" t="s">
        <v>544</v>
      </c>
      <c r="I82" t="s">
        <v>876</v>
      </c>
    </row>
    <row r="83" spans="4:9">
      <c r="D83" s="235">
        <v>7378.1636339999995</v>
      </c>
      <c r="E83" s="236">
        <v>95629072.239999995</v>
      </c>
      <c r="F83" s="235">
        <f t="shared" si="2"/>
        <v>2.5320514429593769E-2</v>
      </c>
      <c r="G83" t="s">
        <v>545</v>
      </c>
      <c r="I83" t="s">
        <v>877</v>
      </c>
    </row>
    <row r="84" spans="4:9">
      <c r="D84" s="235">
        <v>7324.1813629999997</v>
      </c>
      <c r="E84" s="236">
        <v>53709466.450000003</v>
      </c>
      <c r="F84" s="235">
        <f t="shared" si="2"/>
        <v>1.422110753976512E-2</v>
      </c>
      <c r="G84" t="s">
        <v>546</v>
      </c>
      <c r="I84" t="s">
        <v>878</v>
      </c>
    </row>
    <row r="85" spans="4:9">
      <c r="D85" s="235">
        <v>6823.3886169999996</v>
      </c>
      <c r="E85" s="236">
        <v>64513277.530000001</v>
      </c>
      <c r="F85" s="235">
        <f t="shared" si="2"/>
        <v>1.7081723542179086E-2</v>
      </c>
      <c r="G85" t="s">
        <v>547</v>
      </c>
      <c r="I85" t="s">
        <v>717</v>
      </c>
    </row>
    <row r="86" spans="4:9">
      <c r="D86" s="235">
        <v>6822.380365</v>
      </c>
      <c r="E86" s="236">
        <v>64513277.530000001</v>
      </c>
      <c r="F86" s="235">
        <f t="shared" si="2"/>
        <v>1.7081723542179086E-2</v>
      </c>
      <c r="G86" t="s">
        <v>793</v>
      </c>
      <c r="I86" t="s">
        <v>717</v>
      </c>
    </row>
    <row r="87" spans="4:9">
      <c r="D87" s="235">
        <v>7340.2318910000004</v>
      </c>
      <c r="E87" s="236">
        <v>1593342204</v>
      </c>
      <c r="F87" s="235">
        <f t="shared" si="2"/>
        <v>0.42188262755923123</v>
      </c>
      <c r="G87" t="s">
        <v>545</v>
      </c>
      <c r="I87" t="s">
        <v>879</v>
      </c>
    </row>
    <row r="88" spans="4:9">
      <c r="D88" s="235">
        <v>7340.2359669999996</v>
      </c>
      <c r="E88" s="236">
        <v>1593342204</v>
      </c>
      <c r="F88" s="235">
        <f t="shared" si="2"/>
        <v>0.42188262755923123</v>
      </c>
      <c r="G88" t="s">
        <v>519</v>
      </c>
      <c r="I88" t="s">
        <v>880</v>
      </c>
    </row>
    <row r="89" spans="4:9">
      <c r="D89" s="235">
        <v>6610.9583389999998</v>
      </c>
      <c r="E89" s="236">
        <v>4695069015</v>
      </c>
      <c r="F89" s="235">
        <f t="shared" si="2"/>
        <v>1.2431529445761995</v>
      </c>
      <c r="G89" t="s">
        <v>548</v>
      </c>
      <c r="I89" t="s">
        <v>881</v>
      </c>
    </row>
    <row r="90" spans="4:9">
      <c r="D90" s="235">
        <v>7370.3575300000002</v>
      </c>
      <c r="E90" s="236">
        <v>61317575.189999998</v>
      </c>
      <c r="F90" s="235">
        <f t="shared" si="2"/>
        <v>1.6235570533295135E-2</v>
      </c>
      <c r="G90" t="s">
        <v>549</v>
      </c>
      <c r="I90" t="s">
        <v>629</v>
      </c>
    </row>
    <row r="91" spans="4:9">
      <c r="D91" s="235">
        <v>7372.3544659999998</v>
      </c>
      <c r="E91" s="236">
        <v>61317575.189999998</v>
      </c>
      <c r="F91" s="235">
        <f t="shared" si="2"/>
        <v>1.6235570533295135E-2</v>
      </c>
      <c r="G91" t="s">
        <v>541</v>
      </c>
      <c r="I91" t="s">
        <v>882</v>
      </c>
    </row>
    <row r="92" spans="4:9">
      <c r="D92" s="235">
        <v>7394.3118279999999</v>
      </c>
      <c r="E92" s="236">
        <v>132640063</v>
      </c>
      <c r="F92" s="235">
        <f t="shared" si="2"/>
        <v>3.5120225998897824E-2</v>
      </c>
      <c r="G92" t="s">
        <v>550</v>
      </c>
      <c r="I92" t="s">
        <v>883</v>
      </c>
    </row>
    <row r="93" spans="4:9">
      <c r="D93" s="235">
        <v>7337.3502250000001</v>
      </c>
      <c r="E93" s="236">
        <v>244265330.59999999</v>
      </c>
      <c r="F93" s="235">
        <f t="shared" si="2"/>
        <v>6.4676187724424503E-2</v>
      </c>
      <c r="G93" t="s">
        <v>551</v>
      </c>
      <c r="I93" t="s">
        <v>419</v>
      </c>
    </row>
    <row r="94" spans="4:9">
      <c r="D94" s="235">
        <v>7355.3432830000002</v>
      </c>
      <c r="E94" s="236">
        <v>2607873980</v>
      </c>
      <c r="F94" s="235">
        <f t="shared" si="2"/>
        <v>0.69050874586998012</v>
      </c>
      <c r="G94" t="s">
        <v>551</v>
      </c>
      <c r="I94" t="s">
        <v>122</v>
      </c>
    </row>
    <row r="95" spans="4:9">
      <c r="D95" s="235">
        <v>7337.3580380000003</v>
      </c>
      <c r="E95" s="236">
        <v>244265330.59999999</v>
      </c>
      <c r="F95" s="235">
        <f t="shared" si="2"/>
        <v>6.4676187724424503E-2</v>
      </c>
      <c r="G95" t="s">
        <v>552</v>
      </c>
      <c r="I95" t="s">
        <v>884</v>
      </c>
    </row>
    <row r="96" spans="4:9">
      <c r="D96" s="235">
        <v>7338.3408129999998</v>
      </c>
      <c r="E96" s="236">
        <v>244265330.59999999</v>
      </c>
      <c r="F96" s="235">
        <f t="shared" si="2"/>
        <v>6.4676187724424503E-2</v>
      </c>
      <c r="G96" t="s">
        <v>550</v>
      </c>
      <c r="I96" t="s">
        <v>885</v>
      </c>
    </row>
    <row r="97" spans="4:9">
      <c r="D97" s="235">
        <v>7338.3360650000004</v>
      </c>
      <c r="E97" s="236">
        <v>244265330.59999999</v>
      </c>
      <c r="F97" s="235">
        <f t="shared" si="2"/>
        <v>6.4676187724424503E-2</v>
      </c>
      <c r="G97" t="s">
        <v>541</v>
      </c>
      <c r="I97" t="s">
        <v>886</v>
      </c>
    </row>
    <row r="98" spans="4:9">
      <c r="D98" s="235">
        <v>7394.2938830000003</v>
      </c>
      <c r="E98" s="236">
        <v>132640063</v>
      </c>
      <c r="F98" s="235">
        <f t="shared" si="2"/>
        <v>3.5120225998897824E-2</v>
      </c>
      <c r="G98" t="s">
        <v>552</v>
      </c>
      <c r="I98" t="s">
        <v>887</v>
      </c>
    </row>
    <row r="99" spans="4:9">
      <c r="D99" s="235">
        <v>7393.2999129999998</v>
      </c>
      <c r="E99" s="236">
        <v>132640063</v>
      </c>
      <c r="F99" s="235">
        <f t="shared" si="2"/>
        <v>3.5120225998897824E-2</v>
      </c>
      <c r="G99" t="s">
        <v>541</v>
      </c>
      <c r="I99" t="s">
        <v>888</v>
      </c>
    </row>
    <row r="100" spans="4:9">
      <c r="D100" s="235">
        <v>7355.3432830000002</v>
      </c>
      <c r="E100" s="236">
        <v>2607873980</v>
      </c>
      <c r="F100" s="235">
        <f t="shared" si="2"/>
        <v>0.69050874586998012</v>
      </c>
      <c r="G100" t="s">
        <v>541</v>
      </c>
      <c r="I100" t="s">
        <v>889</v>
      </c>
    </row>
    <row r="101" spans="4:9">
      <c r="D101" s="235">
        <v>7386.5361670000002</v>
      </c>
      <c r="E101" s="236">
        <v>255895028.40000001</v>
      </c>
      <c r="F101" s="235">
        <f t="shared" si="2"/>
        <v>6.7755480705722959E-2</v>
      </c>
      <c r="G101" t="s">
        <v>553</v>
      </c>
      <c r="I101" t="s">
        <v>637</v>
      </c>
    </row>
    <row r="102" spans="4:9">
      <c r="D102" s="235">
        <v>7387.5527430000002</v>
      </c>
      <c r="E102" s="236">
        <v>255895028.40000001</v>
      </c>
      <c r="F102" s="235">
        <f t="shared" si="2"/>
        <v>6.7755480705722959E-2</v>
      </c>
      <c r="G102" t="s">
        <v>554</v>
      </c>
      <c r="I102" t="s">
        <v>714</v>
      </c>
    </row>
    <row r="103" spans="4:9">
      <c r="D103" s="235">
        <v>7355.3546829999996</v>
      </c>
      <c r="E103" s="236">
        <v>2607873980</v>
      </c>
      <c r="F103" s="235">
        <f t="shared" si="2"/>
        <v>0.69050874586998012</v>
      </c>
      <c r="G103" t="s">
        <v>552</v>
      </c>
      <c r="I103" t="s">
        <v>890</v>
      </c>
    </row>
    <row r="104" spans="4:9">
      <c r="D104" s="235">
        <v>7386.5372660000003</v>
      </c>
      <c r="E104" s="236">
        <v>255895028.40000001</v>
      </c>
      <c r="F104" s="235">
        <f t="shared" si="2"/>
        <v>6.7755480705722959E-2</v>
      </c>
      <c r="G104" t="s">
        <v>555</v>
      </c>
      <c r="I104" t="s">
        <v>891</v>
      </c>
    </row>
    <row r="105" spans="4:9">
      <c r="D105" s="235">
        <v>13216.926670000001</v>
      </c>
      <c r="E105" s="236">
        <v>2681009.4879999999</v>
      </c>
      <c r="F105" s="235">
        <f t="shared" ref="F105:F131" si="3">(E105*100)/$E$133</f>
        <v>7.0987344995266884E-4</v>
      </c>
      <c r="G105" t="s">
        <v>794</v>
      </c>
      <c r="I105" t="s">
        <v>892</v>
      </c>
    </row>
    <row r="106" spans="4:9">
      <c r="D106" s="235">
        <v>7398.5821169999999</v>
      </c>
      <c r="E106" s="236">
        <v>75055322.730000004</v>
      </c>
      <c r="F106" s="235">
        <f t="shared" si="3"/>
        <v>1.9873029589090388E-2</v>
      </c>
      <c r="G106" t="s">
        <v>553</v>
      </c>
      <c r="I106" t="s">
        <v>893</v>
      </c>
    </row>
    <row r="107" spans="4:9">
      <c r="D107" s="235">
        <v>13219.937840000001</v>
      </c>
      <c r="E107" s="236">
        <v>81036877.230000004</v>
      </c>
      <c r="F107" s="235">
        <f t="shared" si="3"/>
        <v>2.1456816124721965E-2</v>
      </c>
      <c r="G107" t="s">
        <v>795</v>
      </c>
      <c r="I107" t="s">
        <v>894</v>
      </c>
    </row>
    <row r="108" spans="4:9">
      <c r="D108" s="235">
        <v>13221.89488</v>
      </c>
      <c r="E108" s="236">
        <v>81036877.230000004</v>
      </c>
      <c r="F108" s="235">
        <f t="shared" si="3"/>
        <v>2.1456816124721965E-2</v>
      </c>
      <c r="G108" t="s">
        <v>794</v>
      </c>
      <c r="I108" t="s">
        <v>895</v>
      </c>
    </row>
    <row r="109" spans="4:9">
      <c r="D109" s="235">
        <v>13360.601140000001</v>
      </c>
      <c r="E109" s="236">
        <v>89269385.129999995</v>
      </c>
      <c r="F109" s="235">
        <f t="shared" si="3"/>
        <v>2.3636606539822354E-2</v>
      </c>
      <c r="G109" t="s">
        <v>796</v>
      </c>
      <c r="I109" t="s">
        <v>896</v>
      </c>
    </row>
    <row r="110" spans="4:9">
      <c r="D110" s="235">
        <v>13363.572050000001</v>
      </c>
      <c r="E110" s="236">
        <v>263950584.09999999</v>
      </c>
      <c r="F110" s="235">
        <f t="shared" si="3"/>
        <v>6.9888417997306648E-2</v>
      </c>
      <c r="G110" t="s">
        <v>797</v>
      </c>
      <c r="I110" t="s">
        <v>150</v>
      </c>
    </row>
    <row r="111" spans="4:9">
      <c r="D111" s="235">
        <v>13325.587670000001</v>
      </c>
      <c r="E111" s="236">
        <v>8836479.8920000009</v>
      </c>
      <c r="F111" s="235">
        <f t="shared" si="3"/>
        <v>2.3397091634505349E-3</v>
      </c>
      <c r="G111" t="s">
        <v>798</v>
      </c>
      <c r="I111" t="s">
        <v>897</v>
      </c>
    </row>
    <row r="112" spans="4:9">
      <c r="D112" s="235">
        <v>13560.631369999999</v>
      </c>
      <c r="E112" s="236">
        <v>40784103.189999998</v>
      </c>
      <c r="F112" s="235">
        <f t="shared" si="3"/>
        <v>1.0798750308156668E-2</v>
      </c>
      <c r="G112" t="s">
        <v>799</v>
      </c>
      <c r="I112" t="s">
        <v>614</v>
      </c>
    </row>
    <row r="113" spans="4:9">
      <c r="D113" s="235">
        <v>13354.59491</v>
      </c>
      <c r="E113" s="236">
        <v>7697708.2189999996</v>
      </c>
      <c r="F113" s="235">
        <f t="shared" si="3"/>
        <v>2.0381870018024136E-3</v>
      </c>
      <c r="G113" t="s">
        <v>800</v>
      </c>
      <c r="I113" t="s">
        <v>898</v>
      </c>
    </row>
    <row r="114" spans="4:9">
      <c r="D114" s="235">
        <v>13329.59224</v>
      </c>
      <c r="E114" s="236">
        <v>305710638.30000001</v>
      </c>
      <c r="F114" s="235">
        <f t="shared" si="3"/>
        <v>8.0945579069600634E-2</v>
      </c>
      <c r="G114" t="s">
        <v>801</v>
      </c>
      <c r="I114" t="s">
        <v>899</v>
      </c>
    </row>
    <row r="115" spans="4:9">
      <c r="D115" s="235">
        <v>13347.58581</v>
      </c>
      <c r="E115" s="236">
        <v>32784490090</v>
      </c>
      <c r="F115" s="235">
        <f t="shared" si="3"/>
        <v>8.6806254096805286</v>
      </c>
      <c r="G115" t="s">
        <v>802</v>
      </c>
      <c r="I115" t="s">
        <v>136</v>
      </c>
    </row>
    <row r="116" spans="4:9">
      <c r="D116" s="235">
        <v>13384.50079</v>
      </c>
      <c r="E116" s="236">
        <v>485161378.60000002</v>
      </c>
      <c r="F116" s="235">
        <f t="shared" si="3"/>
        <v>0.12846026213338599</v>
      </c>
      <c r="G116" t="s">
        <v>803</v>
      </c>
      <c r="I116" t="s">
        <v>900</v>
      </c>
    </row>
    <row r="117" spans="4:9">
      <c r="D117" s="235">
        <v>13330.604219999999</v>
      </c>
      <c r="E117" s="236">
        <v>341483568.69999999</v>
      </c>
      <c r="F117" s="235">
        <f t="shared" si="3"/>
        <v>9.04174789758216E-2</v>
      </c>
      <c r="G117" t="s">
        <v>804</v>
      </c>
      <c r="I117" t="s">
        <v>901</v>
      </c>
    </row>
    <row r="118" spans="4:9">
      <c r="D118" s="235">
        <v>13327.574049999999</v>
      </c>
      <c r="E118" s="236">
        <v>184770361.5</v>
      </c>
      <c r="F118" s="235">
        <f t="shared" si="3"/>
        <v>4.8923203947649284E-2</v>
      </c>
      <c r="G118" t="s">
        <v>805</v>
      </c>
      <c r="I118" t="s">
        <v>902</v>
      </c>
    </row>
    <row r="119" spans="4:9">
      <c r="D119" s="235">
        <v>13096.442300000001</v>
      </c>
      <c r="E119" s="236">
        <v>61456747.719999999</v>
      </c>
      <c r="F119" s="235">
        <f t="shared" si="3"/>
        <v>1.6272420415569682E-2</v>
      </c>
      <c r="G119" t="s">
        <v>806</v>
      </c>
      <c r="I119" t="s">
        <v>903</v>
      </c>
    </row>
    <row r="120" spans="4:9">
      <c r="D120" s="235">
        <v>13386.60577</v>
      </c>
      <c r="E120" s="236">
        <v>583137754.79999995</v>
      </c>
      <c r="F120" s="235">
        <f t="shared" si="3"/>
        <v>0.15440229199126559</v>
      </c>
      <c r="G120" t="s">
        <v>807</v>
      </c>
      <c r="I120" t="s">
        <v>904</v>
      </c>
    </row>
    <row r="121" spans="4:9">
      <c r="D121" s="235">
        <v>13388.63715</v>
      </c>
      <c r="E121" s="236">
        <v>583137754.79999995</v>
      </c>
      <c r="F121" s="235">
        <f t="shared" si="3"/>
        <v>0.15440229199126559</v>
      </c>
      <c r="G121" t="s">
        <v>808</v>
      </c>
      <c r="I121" t="s">
        <v>905</v>
      </c>
    </row>
    <row r="122" spans="4:9">
      <c r="D122" s="235">
        <v>13370.622300000001</v>
      </c>
      <c r="E122" s="236">
        <v>240195289.09999999</v>
      </c>
      <c r="F122" s="235">
        <f t="shared" si="3"/>
        <v>6.3598528576261304E-2</v>
      </c>
      <c r="G122" t="s">
        <v>796</v>
      </c>
      <c r="I122" t="s">
        <v>129</v>
      </c>
    </row>
    <row r="123" spans="4:9">
      <c r="D123" s="235">
        <v>13331.644480000001</v>
      </c>
      <c r="E123" s="236">
        <v>43291837.609999999</v>
      </c>
      <c r="F123" s="235">
        <f t="shared" si="3"/>
        <v>1.1462744259785105E-2</v>
      </c>
      <c r="G123" t="s">
        <v>809</v>
      </c>
      <c r="I123" t="s">
        <v>906</v>
      </c>
    </row>
    <row r="124" spans="4:9">
      <c r="D124" s="235">
        <v>13098.517620000001</v>
      </c>
      <c r="E124" s="236">
        <v>69811355.849999994</v>
      </c>
      <c r="F124" s="235">
        <f t="shared" si="3"/>
        <v>1.8484540336364871E-2</v>
      </c>
      <c r="G124" t="s">
        <v>810</v>
      </c>
      <c r="I124" t="s">
        <v>907</v>
      </c>
    </row>
    <row r="125" spans="4:9">
      <c r="D125" s="235">
        <v>13187.209210000001</v>
      </c>
      <c r="E125" s="236">
        <v>76936951.030000001</v>
      </c>
      <c r="F125" s="235">
        <f t="shared" si="3"/>
        <v>2.0371244152980649E-2</v>
      </c>
      <c r="G125" t="s">
        <v>557</v>
      </c>
      <c r="I125" t="s">
        <v>908</v>
      </c>
    </row>
    <row r="126" spans="4:9">
      <c r="D126" s="235">
        <v>13336.26179</v>
      </c>
      <c r="E126" s="236">
        <v>355156689.80000001</v>
      </c>
      <c r="F126" s="235">
        <f t="shared" si="3"/>
        <v>9.403782634509493E-2</v>
      </c>
      <c r="G126" t="s">
        <v>796</v>
      </c>
      <c r="I126" t="s">
        <v>909</v>
      </c>
    </row>
    <row r="127" spans="4:9">
      <c r="D127" s="235">
        <v>13334.25813</v>
      </c>
      <c r="E127" s="236">
        <v>355156689.80000001</v>
      </c>
      <c r="F127" s="235">
        <f t="shared" si="3"/>
        <v>9.403782634509493E-2</v>
      </c>
      <c r="G127" t="s">
        <v>557</v>
      </c>
      <c r="I127" t="s">
        <v>910</v>
      </c>
    </row>
    <row r="128" spans="4:9">
      <c r="D128" s="235">
        <v>12856.088599999999</v>
      </c>
      <c r="E128" s="236">
        <v>144859957.09999999</v>
      </c>
      <c r="F128" s="235">
        <f t="shared" si="3"/>
        <v>3.8355790222616558E-2</v>
      </c>
      <c r="G128" t="s">
        <v>557</v>
      </c>
      <c r="I128" t="s">
        <v>685</v>
      </c>
    </row>
    <row r="129" spans="4:9">
      <c r="D129" s="235">
        <v>13350.603139999999</v>
      </c>
      <c r="E129" s="236">
        <v>65871829.710000001</v>
      </c>
      <c r="F129" s="235">
        <f t="shared" si="3"/>
        <v>1.7441438838702243E-2</v>
      </c>
      <c r="G129" t="s">
        <v>796</v>
      </c>
      <c r="I129" t="s">
        <v>911</v>
      </c>
    </row>
    <row r="130" spans="4:9">
      <c r="D130" s="235">
        <v>13348.620720000001</v>
      </c>
      <c r="E130" s="236">
        <v>6295446316</v>
      </c>
      <c r="F130" s="235">
        <f t="shared" si="3"/>
        <v>1.6668983139871454</v>
      </c>
      <c r="G130" t="s">
        <v>797</v>
      </c>
      <c r="I130" t="s">
        <v>912</v>
      </c>
    </row>
    <row r="131" spans="4:9">
      <c r="D131" s="235">
        <v>13344.59843</v>
      </c>
      <c r="E131" s="236">
        <v>1057057609</v>
      </c>
      <c r="F131" s="235">
        <f t="shared" si="3"/>
        <v>0.27988604108198117</v>
      </c>
      <c r="G131" t="s">
        <v>798</v>
      </c>
      <c r="I131" t="s">
        <v>913</v>
      </c>
    </row>
    <row r="132" spans="4:9">
      <c r="D132" s="232"/>
    </row>
    <row r="133" spans="4:9">
      <c r="D133" s="232"/>
      <c r="E133" s="22">
        <f>SUM(E9:E131)</f>
        <v>377674286618.09473</v>
      </c>
      <c r="F133" s="22">
        <f>SUM(F9:F131)</f>
        <v>100.0000000000001</v>
      </c>
    </row>
    <row r="134" spans="4:9">
      <c r="D134" s="232"/>
    </row>
    <row r="135" spans="4:9">
      <c r="D135" s="232"/>
    </row>
    <row r="136" spans="4:9">
      <c r="D136" s="232"/>
    </row>
    <row r="137" spans="4:9">
      <c r="D137" s="232"/>
    </row>
    <row r="138" spans="4:9">
      <c r="D138" s="232"/>
    </row>
    <row r="139" spans="4:9">
      <c r="D139" s="232"/>
    </row>
  </sheetData>
  <mergeCells count="1">
    <mergeCell ref="G7:H7"/>
  </mergeCells>
  <hyperlinks>
    <hyperlink ref="B13" location="'W. aegyptia (Sinai)'!A1" display="Table S1" xr:uid="{4DCC2EB9-6A91-B34C-AF6E-A08492A95725}"/>
    <hyperlink ref="B14" location="'W. aegyptia (Riyadh)'!A1" display="Table S2" xr:uid="{16715585-5A57-5A4C-B3A8-F075ABD4E5B8}"/>
    <hyperlink ref="B15" location="'W. morgani'!A1" display="Table S3" xr:uid="{824FD060-6CD9-F042-B602-02DDBF76A471}"/>
    <hyperlink ref="B16" location="'Top-Down MS IDs'!A1" display="Table S4" xr:uid="{C84F7DA7-F128-1145-905B-33AA2CBD9C02}"/>
    <hyperlink ref="B12" location="'Transcriptomic database'!A1" display="Table S5" xr:uid="{26F01071-9729-1245-867D-5B667CB8180B}"/>
    <hyperlink ref="B17" location="'W. aegyptia (Sinai) ICP-MS'!A1" display="Table S6" xr:uid="{685C7F0C-6642-B441-8A09-E31636D6FDA4}"/>
    <hyperlink ref="B18" location="'W. aegyptia (Riyadh) ICP-MS'!A1" display="Table S7" xr:uid="{6218CE74-F5FF-3843-AE0A-80E16E2AACE2}"/>
    <hyperlink ref="B19" location="'W. morgani ICP-MS'!A1" display="Table S8" xr:uid="{BC4CCD9A-9EC9-A544-8364-FF075B1DEBED}"/>
    <hyperlink ref="B11" location="INDEX!A1" display="INDEX" xr:uid="{A43E0F13-DB7B-024F-BE42-4F7AE2A6700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6718C-61C9-A74E-BA7B-253B67369139}">
  <sheetPr>
    <pageSetUpPr fitToPage="1"/>
  </sheetPr>
  <dimension ref="B2:AB164"/>
  <sheetViews>
    <sheetView topLeftCell="I1" workbookViewId="0">
      <pane ySplit="10" topLeftCell="A38" activePane="bottomLeft" state="frozen"/>
      <selection pane="bottomLeft" activeCell="S63" sqref="S63"/>
    </sheetView>
  </sheetViews>
  <sheetFormatPr baseColWidth="10" defaultRowHeight="16" customHeight="1"/>
  <cols>
    <col min="1" max="1" width="10.83203125" style="43"/>
    <col min="2" max="2" width="10.83203125" style="51"/>
    <col min="3" max="3" width="1.5" style="43" customWidth="1"/>
    <col min="4" max="4" width="14.83203125" style="43" customWidth="1"/>
    <col min="5" max="5" width="9" style="43" customWidth="1"/>
    <col min="6" max="6" width="13.6640625" style="43" customWidth="1"/>
    <col min="7" max="7" width="1.5" style="60" customWidth="1"/>
    <col min="8" max="8" width="15.5" style="43" customWidth="1"/>
    <col min="9" max="9" width="13.6640625" style="43" customWidth="1"/>
    <col min="10" max="10" width="13.33203125" style="43" customWidth="1"/>
    <col min="11" max="11" width="7.6640625" style="43" customWidth="1"/>
    <col min="12" max="12" width="30.1640625" style="43" customWidth="1"/>
    <col min="13" max="13" width="15.33203125" style="43" customWidth="1"/>
    <col min="14" max="14" width="23" style="43" customWidth="1"/>
    <col min="15" max="15" width="18" style="43" customWidth="1"/>
    <col min="16" max="16" width="1.5" style="60" customWidth="1"/>
    <col min="17" max="17" width="17.6640625" style="43" customWidth="1"/>
    <col min="18" max="18" width="13.6640625" style="43" customWidth="1"/>
    <col min="19" max="19" width="10.83203125" style="43"/>
    <col min="20" max="20" width="10.83203125" style="66"/>
    <col min="21" max="21" width="23.1640625" style="51" customWidth="1"/>
    <col min="22" max="22" width="1.5" style="43" customWidth="1"/>
    <col min="23" max="23" width="10.83203125" style="43"/>
    <col min="24" max="24" width="22" style="43" customWidth="1"/>
    <col min="25" max="16384" width="10.83203125" style="43"/>
  </cols>
  <sheetData>
    <row r="2" spans="2:28" s="2" customFormat="1" ht="16" customHeight="1">
      <c r="D2" s="1"/>
      <c r="G2" s="5"/>
      <c r="I2" s="3"/>
      <c r="J2" s="3"/>
      <c r="K2" s="3"/>
      <c r="M2" s="4"/>
      <c r="P2" s="5"/>
      <c r="Q2" s="5"/>
      <c r="R2" s="5"/>
      <c r="U2" s="14"/>
      <c r="X2" s="5"/>
    </row>
    <row r="3" spans="2:28" s="34" customFormat="1" ht="16" customHeight="1">
      <c r="B3" s="2"/>
      <c r="D3" s="34" t="s">
        <v>791</v>
      </c>
      <c r="E3" s="33" t="s">
        <v>960</v>
      </c>
      <c r="G3" s="37"/>
      <c r="I3" s="35"/>
      <c r="J3" s="35"/>
      <c r="K3" s="35"/>
      <c r="M3" s="36"/>
      <c r="P3" s="37"/>
      <c r="Q3" s="37"/>
      <c r="R3" s="37"/>
      <c r="U3" s="38"/>
      <c r="X3" s="37"/>
    </row>
    <row r="4" spans="2:28" s="2" customFormat="1" ht="16" customHeight="1">
      <c r="E4" s="213" t="s">
        <v>982</v>
      </c>
      <c r="F4" s="213"/>
      <c r="G4" s="213"/>
      <c r="H4" s="213"/>
      <c r="I4" s="212"/>
      <c r="J4" s="3"/>
      <c r="K4" s="3"/>
      <c r="M4" s="4"/>
      <c r="P4" s="5"/>
      <c r="Q4" s="5"/>
      <c r="R4" s="5"/>
    </row>
    <row r="5" spans="2:28" s="2" customFormat="1" ht="16" customHeight="1">
      <c r="E5" s="213"/>
      <c r="F5" s="213"/>
      <c r="G5" s="213"/>
      <c r="H5" s="213"/>
      <c r="I5" s="212"/>
      <c r="J5" s="3"/>
      <c r="K5" s="3"/>
      <c r="M5" s="4"/>
      <c r="P5" s="5"/>
      <c r="Q5" s="5"/>
      <c r="R5" s="5"/>
    </row>
    <row r="6" spans="2:28" s="2" customFormat="1" ht="16" customHeight="1">
      <c r="E6" s="213"/>
      <c r="F6" s="213"/>
      <c r="G6" s="213"/>
      <c r="H6" s="213"/>
      <c r="I6" s="212"/>
      <c r="J6" s="3"/>
      <c r="K6" s="3"/>
      <c r="M6" s="4"/>
      <c r="P6" s="5"/>
      <c r="Q6" s="5"/>
      <c r="R6" s="5"/>
    </row>
    <row r="7" spans="2:28" s="2" customFormat="1" ht="16" customHeight="1">
      <c r="G7" s="42"/>
      <c r="H7" s="259" t="s">
        <v>0</v>
      </c>
      <c r="I7" s="259"/>
      <c r="J7" s="259"/>
      <c r="K7" s="259"/>
      <c r="L7" s="259"/>
      <c r="M7" s="259"/>
      <c r="N7" s="259"/>
      <c r="O7" s="259"/>
      <c r="P7" s="61"/>
      <c r="Q7" s="260" t="s">
        <v>1</v>
      </c>
      <c r="R7" s="260"/>
      <c r="S7" s="260"/>
      <c r="T7" s="260"/>
      <c r="U7" s="260"/>
      <c r="V7" s="7"/>
      <c r="W7" s="262" t="s">
        <v>2</v>
      </c>
      <c r="X7" s="262"/>
      <c r="Y7" s="262"/>
      <c r="Z7" s="262"/>
      <c r="AA7" s="262"/>
      <c r="AB7" s="262"/>
    </row>
    <row r="8" spans="2:28" s="2" customFormat="1" ht="19" customHeight="1">
      <c r="D8" s="1"/>
      <c r="G8" s="5"/>
      <c r="I8" s="8"/>
      <c r="J8" s="8"/>
      <c r="K8" s="8"/>
      <c r="L8" s="8"/>
      <c r="M8" s="8"/>
      <c r="N8" s="8"/>
      <c r="O8" s="8"/>
      <c r="P8" s="8"/>
      <c r="Q8" s="261" t="s">
        <v>3</v>
      </c>
      <c r="R8" s="261"/>
      <c r="S8" s="9"/>
      <c r="T8" s="10" t="s">
        <v>995</v>
      </c>
      <c r="U8" s="7" t="s">
        <v>988</v>
      </c>
      <c r="V8" s="7"/>
      <c r="W8" s="10"/>
      <c r="X8" s="10"/>
      <c r="Y8" s="10"/>
      <c r="Z8" s="10"/>
    </row>
    <row r="9" spans="2:28" s="2" customFormat="1" ht="21" customHeight="1">
      <c r="D9" s="29" t="s">
        <v>4</v>
      </c>
      <c r="E9" s="202" t="s">
        <v>5</v>
      </c>
      <c r="F9" s="30" t="s">
        <v>6</v>
      </c>
      <c r="G9" s="7"/>
      <c r="H9" s="31" t="s">
        <v>7</v>
      </c>
      <c r="I9" s="31" t="s">
        <v>8</v>
      </c>
      <c r="J9" s="31" t="s">
        <v>9</v>
      </c>
      <c r="K9" s="30" t="s">
        <v>10</v>
      </c>
      <c r="L9" s="30" t="s">
        <v>11</v>
      </c>
      <c r="M9" s="30" t="s">
        <v>12</v>
      </c>
      <c r="N9" s="30" t="s">
        <v>13</v>
      </c>
      <c r="O9" s="30" t="s">
        <v>14</v>
      </c>
      <c r="P9" s="7"/>
      <c r="Q9" s="30" t="s">
        <v>15</v>
      </c>
      <c r="R9" s="30" t="s">
        <v>16</v>
      </c>
      <c r="S9" s="32" t="s">
        <v>17</v>
      </c>
      <c r="T9" s="30" t="s">
        <v>18</v>
      </c>
      <c r="U9" s="252" t="s">
        <v>992</v>
      </c>
      <c r="V9" s="7"/>
      <c r="W9" s="63" t="s">
        <v>19</v>
      </c>
      <c r="X9" s="30"/>
      <c r="Y9" s="30"/>
      <c r="Z9" s="30"/>
      <c r="AA9" s="64"/>
      <c r="AB9" s="64"/>
    </row>
    <row r="10" spans="2:28" s="2" customFormat="1" ht="8" customHeight="1">
      <c r="D10" s="1"/>
      <c r="E10" s="10"/>
      <c r="F10" s="10"/>
      <c r="G10" s="7"/>
      <c r="H10" s="10"/>
      <c r="I10" s="8"/>
      <c r="J10" s="8"/>
      <c r="K10" s="11"/>
      <c r="L10" s="10"/>
      <c r="M10" s="10"/>
      <c r="N10" s="7"/>
      <c r="O10" s="7"/>
      <c r="P10" s="7"/>
      <c r="Q10" s="7"/>
      <c r="R10" s="7"/>
      <c r="S10" s="10"/>
      <c r="T10" s="10"/>
      <c r="U10" s="9"/>
      <c r="V10" s="10"/>
      <c r="W10" s="10"/>
      <c r="X10" s="7"/>
      <c r="Y10" s="12"/>
      <c r="Z10" s="10"/>
      <c r="AA10" s="10"/>
      <c r="AB10" s="10"/>
    </row>
    <row r="11" spans="2:28" ht="16" customHeight="1">
      <c r="D11" s="44">
        <v>1</v>
      </c>
      <c r="E11" s="45">
        <v>11.298510817645404</v>
      </c>
      <c r="F11" s="46" t="s">
        <v>319</v>
      </c>
      <c r="G11" s="73"/>
      <c r="H11" s="47">
        <v>6848.4</v>
      </c>
      <c r="I11" s="47">
        <v>6852</v>
      </c>
      <c r="J11" s="49">
        <v>617</v>
      </c>
      <c r="K11" s="46">
        <v>3</v>
      </c>
      <c r="L11" s="50" t="s">
        <v>50</v>
      </c>
      <c r="M11" s="51">
        <v>98</v>
      </c>
      <c r="N11" s="10" t="s">
        <v>22</v>
      </c>
      <c r="O11" s="2" t="s">
        <v>23</v>
      </c>
      <c r="Q11" s="22">
        <v>6848.07</v>
      </c>
      <c r="R11" s="22">
        <v>6856.14</v>
      </c>
      <c r="S11" s="22">
        <v>5.5851999999999999E-21</v>
      </c>
      <c r="T11" s="22" t="s">
        <v>25</v>
      </c>
      <c r="U11" s="85" t="s">
        <v>564</v>
      </c>
      <c r="V11" s="18"/>
      <c r="W11" s="19" t="s">
        <v>27</v>
      </c>
      <c r="X11" s="2"/>
      <c r="Y11" s="2"/>
      <c r="Z11" s="2"/>
      <c r="AA11" s="2"/>
      <c r="AB11" s="2"/>
    </row>
    <row r="12" spans="2:28" ht="16" customHeight="1">
      <c r="D12" s="44"/>
      <c r="E12" s="45"/>
      <c r="F12" s="46"/>
      <c r="G12" s="73"/>
      <c r="H12" s="49"/>
      <c r="I12" s="48"/>
      <c r="J12" s="48">
        <v>860.9</v>
      </c>
      <c r="K12" s="51">
        <v>2</v>
      </c>
      <c r="L12" s="50" t="s">
        <v>31</v>
      </c>
      <c r="M12" s="51"/>
      <c r="N12" s="51"/>
      <c r="O12" s="51"/>
      <c r="Q12" s="51"/>
      <c r="R12" s="51"/>
    </row>
    <row r="13" spans="2:28" ht="16" customHeight="1">
      <c r="B13" s="227"/>
      <c r="D13" s="44"/>
      <c r="E13" s="45"/>
      <c r="F13" s="46"/>
      <c r="G13" s="73"/>
      <c r="H13" s="52" t="s">
        <v>29</v>
      </c>
      <c r="I13" s="47" t="s">
        <v>765</v>
      </c>
      <c r="J13" s="48"/>
      <c r="K13" s="51"/>
      <c r="L13" s="50"/>
      <c r="M13" s="51"/>
      <c r="N13" s="10" t="s">
        <v>985</v>
      </c>
      <c r="O13" s="51" t="s">
        <v>40</v>
      </c>
      <c r="Q13" s="22">
        <v>6662.01</v>
      </c>
      <c r="R13" s="22">
        <v>6668.06</v>
      </c>
      <c r="S13" s="22">
        <v>5.1731400000000002E-22</v>
      </c>
      <c r="T13" s="22" t="s">
        <v>41</v>
      </c>
      <c r="U13" s="85" t="s">
        <v>576</v>
      </c>
      <c r="V13"/>
      <c r="W13" t="s">
        <v>43</v>
      </c>
    </row>
    <row r="14" spans="2:28" ht="16" customHeight="1">
      <c r="B14" s="228" t="s">
        <v>724</v>
      </c>
      <c r="D14" s="44">
        <v>2</v>
      </c>
      <c r="E14" s="45">
        <v>2.9470276562437276</v>
      </c>
      <c r="F14" s="46" t="s">
        <v>319</v>
      </c>
      <c r="G14" s="73"/>
      <c r="H14" s="47" t="s">
        <v>761</v>
      </c>
      <c r="I14" s="47" t="s">
        <v>762</v>
      </c>
      <c r="J14" s="49">
        <v>617</v>
      </c>
      <c r="K14" s="46">
        <v>3</v>
      </c>
      <c r="L14" s="50" t="s">
        <v>50</v>
      </c>
      <c r="M14" s="51">
        <v>89</v>
      </c>
      <c r="N14" s="10" t="s">
        <v>22</v>
      </c>
      <c r="O14" s="2" t="s">
        <v>23</v>
      </c>
      <c r="Q14" s="22">
        <v>6848.07</v>
      </c>
      <c r="R14" s="22">
        <v>6856.14</v>
      </c>
      <c r="S14" s="22">
        <v>5.5851999999999999E-21</v>
      </c>
      <c r="T14" s="22" t="s">
        <v>25</v>
      </c>
      <c r="U14" s="85" t="s">
        <v>564</v>
      </c>
      <c r="V14" s="18"/>
      <c r="W14" s="19" t="s">
        <v>27</v>
      </c>
    </row>
    <row r="15" spans="2:28" ht="16" customHeight="1">
      <c r="B15" s="228" t="s">
        <v>725</v>
      </c>
      <c r="D15" s="44"/>
      <c r="E15" s="45"/>
      <c r="F15" s="46"/>
      <c r="G15" s="73"/>
      <c r="H15" s="11"/>
      <c r="I15" s="11"/>
      <c r="J15" s="3">
        <v>860.85619999999994</v>
      </c>
      <c r="K15" s="2">
        <v>2</v>
      </c>
      <c r="L15" s="4" t="s">
        <v>31</v>
      </c>
      <c r="M15" s="51"/>
      <c r="N15" s="51"/>
      <c r="O15" s="51"/>
      <c r="Q15" s="51"/>
      <c r="R15" s="51"/>
    </row>
    <row r="16" spans="2:28" ht="16" customHeight="1">
      <c r="B16" s="228" t="s">
        <v>726</v>
      </c>
      <c r="D16" s="44"/>
      <c r="E16" s="45">
        <v>2.9470276562437276</v>
      </c>
      <c r="F16" s="46" t="s">
        <v>321</v>
      </c>
      <c r="G16" s="73"/>
      <c r="H16" s="52" t="s">
        <v>763</v>
      </c>
      <c r="I16" s="47" t="s">
        <v>764</v>
      </c>
      <c r="J16" s="48">
        <v>748.1</v>
      </c>
      <c r="K16" s="51">
        <v>4</v>
      </c>
      <c r="L16" s="50" t="s">
        <v>288</v>
      </c>
      <c r="M16" s="51">
        <v>190</v>
      </c>
      <c r="N16" s="10" t="s">
        <v>47</v>
      </c>
      <c r="O16" s="2" t="s">
        <v>48</v>
      </c>
      <c r="P16" s="5"/>
      <c r="Q16" s="22">
        <v>6342.95</v>
      </c>
      <c r="R16" s="22">
        <v>6349</v>
      </c>
      <c r="S16" s="22">
        <v>1.51578E-32</v>
      </c>
      <c r="T16" s="22" t="s">
        <v>41</v>
      </c>
      <c r="U16" s="85" t="s">
        <v>577</v>
      </c>
      <c r="V16" s="18"/>
      <c r="W16" s="4" t="s">
        <v>49</v>
      </c>
    </row>
    <row r="17" spans="2:23" ht="16" customHeight="1">
      <c r="B17" s="228" t="s">
        <v>727</v>
      </c>
      <c r="D17" s="44"/>
      <c r="E17" s="45"/>
      <c r="F17" s="46"/>
      <c r="G17" s="73"/>
      <c r="H17" s="49"/>
      <c r="I17" s="48"/>
      <c r="J17" s="48">
        <v>470.2</v>
      </c>
      <c r="K17" s="51">
        <v>3</v>
      </c>
      <c r="L17" s="50" t="s">
        <v>56</v>
      </c>
      <c r="M17" s="51"/>
      <c r="N17" s="51"/>
      <c r="O17" s="51"/>
      <c r="Q17" s="51"/>
      <c r="R17" s="51"/>
    </row>
    <row r="18" spans="2:23" ht="16" customHeight="1">
      <c r="B18" s="228" t="s">
        <v>728</v>
      </c>
      <c r="D18" s="51"/>
      <c r="E18" s="45"/>
      <c r="F18" s="46"/>
      <c r="G18" s="73"/>
      <c r="H18" s="49"/>
      <c r="I18" s="48"/>
      <c r="J18" s="48">
        <v>640.79999999999995</v>
      </c>
      <c r="K18" s="51">
        <v>2</v>
      </c>
      <c r="L18" s="50" t="s">
        <v>38</v>
      </c>
      <c r="M18" s="51"/>
      <c r="N18" s="51"/>
      <c r="O18" s="51"/>
      <c r="Q18" s="51"/>
      <c r="R18" s="51"/>
    </row>
    <row r="19" spans="2:23" ht="16" customHeight="1">
      <c r="B19" s="228" t="s">
        <v>729</v>
      </c>
      <c r="D19" s="44">
        <v>3</v>
      </c>
      <c r="E19" s="45">
        <v>2.2241520491309754</v>
      </c>
      <c r="F19" s="46" t="s">
        <v>319</v>
      </c>
      <c r="G19" s="73"/>
      <c r="H19" s="47">
        <v>6848.4</v>
      </c>
      <c r="I19" s="47">
        <v>6852</v>
      </c>
      <c r="J19" s="48">
        <v>860.9</v>
      </c>
      <c r="K19" s="51">
        <v>2</v>
      </c>
      <c r="L19" s="50" t="s">
        <v>31</v>
      </c>
      <c r="M19" s="51">
        <v>50</v>
      </c>
      <c r="N19" s="10" t="s">
        <v>22</v>
      </c>
      <c r="O19" s="2" t="s">
        <v>23</v>
      </c>
      <c r="Q19" s="22">
        <v>6848.07</v>
      </c>
      <c r="R19" s="22">
        <v>6856.14</v>
      </c>
      <c r="S19" s="22">
        <v>5.5851999999999999E-21</v>
      </c>
      <c r="T19" s="22" t="s">
        <v>25</v>
      </c>
      <c r="U19" s="85" t="s">
        <v>564</v>
      </c>
      <c r="V19" s="18"/>
      <c r="W19" s="19" t="s">
        <v>27</v>
      </c>
    </row>
    <row r="20" spans="2:23" ht="16" customHeight="1">
      <c r="B20" s="228" t="s">
        <v>730</v>
      </c>
      <c r="D20" s="51"/>
      <c r="E20" s="45">
        <v>2.2241520491309754</v>
      </c>
      <c r="F20" s="46" t="s">
        <v>321</v>
      </c>
      <c r="G20" s="73"/>
      <c r="H20" s="52" t="s">
        <v>763</v>
      </c>
      <c r="I20" s="47" t="s">
        <v>764</v>
      </c>
      <c r="J20" s="48">
        <v>618.29999999999995</v>
      </c>
      <c r="K20" s="51">
        <v>2</v>
      </c>
      <c r="L20" s="50" t="s">
        <v>46</v>
      </c>
      <c r="M20" s="51">
        <v>91</v>
      </c>
      <c r="N20" s="44" t="s">
        <v>322</v>
      </c>
      <c r="O20" s="2" t="s">
        <v>48</v>
      </c>
      <c r="Q20" s="22">
        <v>6342.95</v>
      </c>
      <c r="R20" s="22">
        <v>6349</v>
      </c>
      <c r="S20" s="22">
        <v>1.51578E-32</v>
      </c>
      <c r="T20" s="22" t="s">
        <v>41</v>
      </c>
      <c r="U20" s="85" t="s">
        <v>577</v>
      </c>
      <c r="V20" s="18"/>
      <c r="W20" s="4" t="s">
        <v>49</v>
      </c>
    </row>
    <row r="21" spans="2:23" ht="16" customHeight="1">
      <c r="B21" s="228" t="s">
        <v>731</v>
      </c>
      <c r="D21" s="44"/>
      <c r="E21" s="45"/>
      <c r="F21" s="46"/>
      <c r="G21" s="73"/>
      <c r="H21" s="11" t="s">
        <v>54</v>
      </c>
      <c r="I21" s="11" t="s">
        <v>55</v>
      </c>
      <c r="J21" s="3">
        <v>470.19380000000001</v>
      </c>
      <c r="K21" s="2">
        <v>3</v>
      </c>
      <c r="L21" s="4" t="s">
        <v>56</v>
      </c>
      <c r="M21" s="2">
        <v>61</v>
      </c>
      <c r="N21" s="10" t="s">
        <v>39</v>
      </c>
      <c r="O21" s="2" t="s">
        <v>40</v>
      </c>
      <c r="P21" s="5"/>
      <c r="Q21" s="22">
        <v>6775.09</v>
      </c>
      <c r="R21" s="22">
        <v>6781.14</v>
      </c>
      <c r="S21" s="22">
        <v>1.5053E-16</v>
      </c>
      <c r="T21" s="22" t="s">
        <v>41</v>
      </c>
      <c r="U21" s="85" t="s">
        <v>576</v>
      </c>
      <c r="V21" s="5"/>
      <c r="W21" s="4" t="s">
        <v>58</v>
      </c>
    </row>
    <row r="22" spans="2:23" ht="16" customHeight="1">
      <c r="B22" s="228" t="s">
        <v>732</v>
      </c>
      <c r="D22" s="44"/>
      <c r="E22" s="45"/>
      <c r="F22" s="46"/>
      <c r="G22" s="73"/>
      <c r="H22" s="49"/>
      <c r="I22" s="48"/>
      <c r="J22" s="3">
        <v>860.85500000000002</v>
      </c>
      <c r="K22" s="2">
        <v>2</v>
      </c>
      <c r="L22" s="4" t="s">
        <v>31</v>
      </c>
      <c r="M22" s="2">
        <v>39</v>
      </c>
      <c r="N22" s="51" t="s">
        <v>320</v>
      </c>
      <c r="O22" s="46" t="s">
        <v>33</v>
      </c>
      <c r="Q22" s="51"/>
      <c r="R22" s="51"/>
    </row>
    <row r="23" spans="2:23" ht="16" customHeight="1">
      <c r="B23" s="228"/>
      <c r="D23" s="44"/>
      <c r="E23" s="45"/>
      <c r="F23" s="46"/>
      <c r="G23" s="73"/>
      <c r="H23" s="72">
        <v>7329.2</v>
      </c>
      <c r="I23" s="72">
        <v>7333.6</v>
      </c>
      <c r="J23" s="3"/>
      <c r="K23" s="2"/>
      <c r="L23" s="4"/>
      <c r="M23" s="2"/>
      <c r="N23" s="51"/>
      <c r="O23" s="46" t="s">
        <v>928</v>
      </c>
      <c r="Q23" s="22">
        <v>7329.17</v>
      </c>
      <c r="R23" s="22">
        <v>7339.26</v>
      </c>
      <c r="S23" s="22">
        <v>1.96606E-11</v>
      </c>
      <c r="T23" s="22" t="s">
        <v>502</v>
      </c>
      <c r="U23" s="85" t="s">
        <v>503</v>
      </c>
      <c r="W23" s="43" t="s">
        <v>767</v>
      </c>
    </row>
    <row r="24" spans="2:23" ht="16" customHeight="1">
      <c r="B24" s="227"/>
      <c r="D24" s="44">
        <v>4</v>
      </c>
      <c r="E24" s="45">
        <v>6.8271585116204389E-2</v>
      </c>
      <c r="F24" s="46" t="s">
        <v>319</v>
      </c>
      <c r="G24" s="73"/>
      <c r="H24" s="49"/>
      <c r="I24" s="48"/>
      <c r="J24" s="48">
        <v>860.9</v>
      </c>
      <c r="K24" s="51">
        <v>2</v>
      </c>
      <c r="L24" s="50" t="s">
        <v>31</v>
      </c>
      <c r="M24" s="51">
        <v>96</v>
      </c>
      <c r="N24" s="51" t="s">
        <v>320</v>
      </c>
      <c r="O24" s="46" t="s">
        <v>33</v>
      </c>
      <c r="Q24" s="51"/>
      <c r="R24" s="51"/>
    </row>
    <row r="25" spans="2:23" ht="16" customHeight="1">
      <c r="D25" s="44"/>
      <c r="E25" s="45">
        <v>0.20481475534861318</v>
      </c>
      <c r="F25" s="46" t="s">
        <v>321</v>
      </c>
      <c r="G25" s="73"/>
      <c r="H25" s="52">
        <v>6618.2</v>
      </c>
      <c r="I25" s="47">
        <v>6622</v>
      </c>
      <c r="J25" s="48">
        <v>474.3</v>
      </c>
      <c r="K25" s="51">
        <v>2</v>
      </c>
      <c r="L25" s="50" t="s">
        <v>289</v>
      </c>
      <c r="M25" s="51">
        <v>104</v>
      </c>
      <c r="N25" s="44" t="s">
        <v>929</v>
      </c>
      <c r="O25" s="46" t="s">
        <v>74</v>
      </c>
      <c r="Q25" s="22">
        <v>6617.91</v>
      </c>
      <c r="R25" s="22" t="s">
        <v>776</v>
      </c>
      <c r="S25" s="65">
        <v>2.2876722000000001E-5</v>
      </c>
      <c r="T25" s="22" t="s">
        <v>25</v>
      </c>
      <c r="U25" s="51" t="s">
        <v>991</v>
      </c>
      <c r="W25" t="s">
        <v>777</v>
      </c>
    </row>
    <row r="26" spans="2:23" ht="16" customHeight="1">
      <c r="D26" s="44"/>
      <c r="E26" s="45"/>
      <c r="F26" s="46"/>
      <c r="G26" s="73"/>
      <c r="H26" s="49"/>
      <c r="I26" s="48"/>
      <c r="J26" s="48">
        <v>571.29999999999995</v>
      </c>
      <c r="K26" s="51">
        <v>2</v>
      </c>
      <c r="L26" s="50" t="s">
        <v>63</v>
      </c>
      <c r="M26" s="51"/>
      <c r="N26" s="51"/>
      <c r="O26" s="51"/>
      <c r="Q26" s="51"/>
      <c r="R26" s="51"/>
    </row>
    <row r="27" spans="2:23" ht="16" customHeight="1">
      <c r="D27" s="44"/>
      <c r="E27" s="45"/>
      <c r="F27" s="46"/>
      <c r="G27" s="73"/>
      <c r="H27" s="72">
        <v>7394.5</v>
      </c>
      <c r="I27" s="72">
        <v>7408.9</v>
      </c>
      <c r="J27" s="48"/>
      <c r="K27" s="51"/>
      <c r="L27" s="50"/>
      <c r="M27" s="51"/>
      <c r="N27" s="44" t="s">
        <v>929</v>
      </c>
      <c r="O27" s="46" t="s">
        <v>74</v>
      </c>
      <c r="Q27" s="22">
        <v>7394.47</v>
      </c>
      <c r="R27" s="22">
        <v>7404.54</v>
      </c>
      <c r="S27" s="22">
        <v>3.1088000000000002E-11</v>
      </c>
      <c r="T27" s="22" t="s">
        <v>25</v>
      </c>
      <c r="U27" s="85" t="s">
        <v>566</v>
      </c>
      <c r="W27" s="43" t="s">
        <v>760</v>
      </c>
    </row>
    <row r="28" spans="2:23" ht="16" customHeight="1">
      <c r="D28" s="44">
        <v>5</v>
      </c>
      <c r="E28" s="45">
        <v>3.4056270843298582</v>
      </c>
      <c r="F28" s="46" t="s">
        <v>321</v>
      </c>
      <c r="G28" s="73"/>
      <c r="H28" s="47" t="s">
        <v>375</v>
      </c>
      <c r="I28" s="47" t="s">
        <v>376</v>
      </c>
      <c r="J28" s="48">
        <v>571.29999999999995</v>
      </c>
      <c r="K28" s="51">
        <v>2</v>
      </c>
      <c r="L28" s="50" t="s">
        <v>63</v>
      </c>
      <c r="M28" s="51">
        <v>279</v>
      </c>
      <c r="N28" s="67" t="s">
        <v>373</v>
      </c>
      <c r="O28" s="68" t="s">
        <v>80</v>
      </c>
      <c r="P28" s="68"/>
      <c r="Q28" s="22">
        <v>6389.86</v>
      </c>
      <c r="R28" s="22">
        <v>6395.91</v>
      </c>
      <c r="S28" s="22">
        <v>2.1840800000000001E-44</v>
      </c>
      <c r="T28" s="22" t="s">
        <v>41</v>
      </c>
      <c r="U28" s="85" t="s">
        <v>578</v>
      </c>
      <c r="V28" s="68"/>
      <c r="W28" s="70" t="s">
        <v>82</v>
      </c>
    </row>
    <row r="29" spans="2:23" ht="16" customHeight="1">
      <c r="D29" s="44"/>
      <c r="E29" s="45"/>
      <c r="F29" s="46"/>
      <c r="G29" s="73"/>
      <c r="H29" s="48"/>
      <c r="I29" s="48"/>
      <c r="J29" s="48">
        <v>772.9</v>
      </c>
      <c r="K29" s="51">
        <v>2</v>
      </c>
      <c r="L29" s="50" t="s">
        <v>290</v>
      </c>
      <c r="M29" s="51"/>
      <c r="N29" s="51"/>
      <c r="O29" s="51"/>
      <c r="Q29" s="51"/>
      <c r="R29" s="51"/>
    </row>
    <row r="30" spans="2:23" ht="16" customHeight="1">
      <c r="D30" s="44"/>
      <c r="E30" s="45"/>
      <c r="F30" s="46"/>
      <c r="G30" s="73"/>
      <c r="H30" s="48"/>
      <c r="I30" s="48"/>
      <c r="J30" s="48">
        <v>567.70000000000005</v>
      </c>
      <c r="K30" s="51">
        <v>3</v>
      </c>
      <c r="L30" s="50" t="s">
        <v>291</v>
      </c>
      <c r="M30" s="51"/>
      <c r="N30" s="51"/>
      <c r="O30" s="51"/>
      <c r="Q30" s="51"/>
      <c r="R30" s="51"/>
    </row>
    <row r="31" spans="2:23" ht="16" customHeight="1">
      <c r="D31" s="44"/>
      <c r="E31" s="45"/>
      <c r="F31" s="46"/>
      <c r="G31" s="73"/>
      <c r="H31" s="48"/>
      <c r="I31" s="48"/>
      <c r="J31" s="48">
        <v>690.7</v>
      </c>
      <c r="K31" s="51">
        <v>3</v>
      </c>
      <c r="L31" s="50" t="s">
        <v>292</v>
      </c>
      <c r="M31" s="51"/>
      <c r="N31" s="51"/>
      <c r="O31" s="51"/>
      <c r="Q31" s="51"/>
      <c r="R31" s="51"/>
    </row>
    <row r="32" spans="2:23" ht="16" customHeight="1">
      <c r="D32" s="44"/>
      <c r="E32" s="45">
        <v>4.2261234073812952</v>
      </c>
      <c r="F32" s="46" t="s">
        <v>321</v>
      </c>
      <c r="G32" s="73"/>
      <c r="H32" s="48" t="s">
        <v>778</v>
      </c>
      <c r="I32" s="48" t="s">
        <v>498</v>
      </c>
      <c r="J32" s="48">
        <v>768.9</v>
      </c>
      <c r="K32" s="51">
        <v>2</v>
      </c>
      <c r="L32" s="50" t="s">
        <v>65</v>
      </c>
      <c r="M32" s="51">
        <v>148</v>
      </c>
      <c r="N32" s="51" t="s">
        <v>499</v>
      </c>
      <c r="O32" s="51" t="s">
        <v>41</v>
      </c>
      <c r="Q32" s="44"/>
      <c r="R32" s="44"/>
    </row>
    <row r="33" spans="4:24" ht="16" customHeight="1">
      <c r="D33" s="54"/>
      <c r="E33" s="45"/>
      <c r="F33" s="46"/>
      <c r="G33" s="73"/>
      <c r="H33" s="49"/>
      <c r="I33" s="49"/>
      <c r="J33" s="49">
        <v>767.6</v>
      </c>
      <c r="K33" s="46">
        <v>4</v>
      </c>
      <c r="L33" s="55" t="s">
        <v>83</v>
      </c>
      <c r="M33" s="46"/>
      <c r="N33" s="46"/>
      <c r="O33" s="46"/>
      <c r="Q33" s="46"/>
      <c r="R33" s="46"/>
    </row>
    <row r="34" spans="4:24" ht="16" customHeight="1">
      <c r="D34" s="44">
        <v>6</v>
      </c>
      <c r="E34" s="45">
        <v>4.0706995216613215</v>
      </c>
      <c r="F34" s="46" t="s">
        <v>321</v>
      </c>
      <c r="G34" s="73"/>
      <c r="H34" s="52">
        <v>7394.6</v>
      </c>
      <c r="I34" s="47">
        <v>7399</v>
      </c>
      <c r="J34" s="48">
        <v>571.29999999999995</v>
      </c>
      <c r="K34" s="51">
        <v>2</v>
      </c>
      <c r="L34" s="50" t="s">
        <v>63</v>
      </c>
      <c r="M34" s="51">
        <v>126</v>
      </c>
      <c r="N34" s="10" t="s">
        <v>73</v>
      </c>
      <c r="O34" s="2" t="s">
        <v>74</v>
      </c>
      <c r="P34" s="5"/>
      <c r="Q34" s="22">
        <v>7394.47</v>
      </c>
      <c r="R34" s="22">
        <v>7404.54</v>
      </c>
      <c r="S34" s="22">
        <v>3.1088000000000002E-11</v>
      </c>
      <c r="T34" s="22" t="s">
        <v>25</v>
      </c>
      <c r="U34" s="85" t="s">
        <v>566</v>
      </c>
      <c r="V34" s="5"/>
      <c r="W34" s="4" t="s">
        <v>76</v>
      </c>
    </row>
    <row r="35" spans="4:24" ht="16" customHeight="1">
      <c r="D35" s="44"/>
      <c r="E35" s="45"/>
      <c r="F35" s="46"/>
      <c r="G35" s="73"/>
      <c r="H35" s="49"/>
      <c r="I35" s="51"/>
      <c r="J35" s="48">
        <v>690.7</v>
      </c>
      <c r="K35" s="51">
        <v>3</v>
      </c>
      <c r="L35" s="50" t="s">
        <v>292</v>
      </c>
      <c r="M35" s="51"/>
      <c r="N35" s="51"/>
      <c r="O35" s="51"/>
      <c r="Q35" s="51"/>
      <c r="R35" s="51"/>
    </row>
    <row r="36" spans="4:24" ht="16" customHeight="1">
      <c r="D36" s="44"/>
      <c r="E36" s="45">
        <v>0.34268304968697066</v>
      </c>
      <c r="F36" s="46" t="s">
        <v>321</v>
      </c>
      <c r="G36" s="73"/>
      <c r="H36" s="49">
        <v>6406</v>
      </c>
      <c r="I36" s="48">
        <v>6410</v>
      </c>
      <c r="J36" s="48">
        <v>768.9</v>
      </c>
      <c r="K36" s="51">
        <v>2</v>
      </c>
      <c r="L36" s="50" t="s">
        <v>65</v>
      </c>
      <c r="M36" s="51">
        <v>97</v>
      </c>
      <c r="N36" s="51" t="s">
        <v>324</v>
      </c>
      <c r="O36" s="68" t="s">
        <v>374</v>
      </c>
      <c r="Q36" s="51"/>
      <c r="R36" s="51"/>
    </row>
    <row r="37" spans="4:24" ht="16" customHeight="1">
      <c r="D37" s="44"/>
      <c r="E37" s="45"/>
      <c r="F37" s="46"/>
      <c r="G37" s="73"/>
      <c r="H37" s="49"/>
      <c r="I37" s="48"/>
      <c r="J37" s="48">
        <v>598.79999999999995</v>
      </c>
      <c r="K37" s="51">
        <v>2</v>
      </c>
      <c r="L37" s="50" t="s">
        <v>89</v>
      </c>
      <c r="M37" s="51">
        <v>65</v>
      </c>
      <c r="N37" s="51" t="s">
        <v>325</v>
      </c>
      <c r="O37" s="46" t="s">
        <v>25</v>
      </c>
      <c r="Q37" s="51"/>
      <c r="R37" s="51"/>
    </row>
    <row r="38" spans="4:24" ht="16" customHeight="1">
      <c r="D38" s="44"/>
      <c r="E38" s="45"/>
      <c r="F38" s="46"/>
      <c r="G38" s="73"/>
      <c r="H38" s="49"/>
      <c r="I38" s="48"/>
      <c r="J38" s="48"/>
      <c r="K38" s="51"/>
      <c r="L38" s="50"/>
      <c r="M38" s="51"/>
      <c r="N38" s="51"/>
      <c r="O38" s="46"/>
      <c r="Q38" s="22">
        <v>6601.91</v>
      </c>
      <c r="R38" s="22" t="s">
        <v>776</v>
      </c>
      <c r="S38" s="22">
        <v>4.5244320000000003E-6</v>
      </c>
      <c r="T38" s="22" t="s">
        <v>25</v>
      </c>
      <c r="U38" s="85" t="s">
        <v>783</v>
      </c>
      <c r="W38" s="43" t="s">
        <v>931</v>
      </c>
    </row>
    <row r="39" spans="4:24" ht="16" customHeight="1">
      <c r="D39" s="44">
        <v>7</v>
      </c>
      <c r="E39" s="45">
        <v>0.7568193312728293</v>
      </c>
      <c r="F39" s="46" t="s">
        <v>319</v>
      </c>
      <c r="G39" s="73"/>
      <c r="H39" s="49"/>
      <c r="I39" s="48"/>
      <c r="J39" s="48">
        <v>571.29999999999995</v>
      </c>
      <c r="K39" s="51">
        <v>2</v>
      </c>
      <c r="L39" s="50" t="s">
        <v>63</v>
      </c>
      <c r="M39" s="51">
        <v>78</v>
      </c>
      <c r="N39" s="51" t="s">
        <v>323</v>
      </c>
      <c r="O39" s="46" t="s">
        <v>25</v>
      </c>
      <c r="Q39" s="51"/>
      <c r="R39" s="51"/>
    </row>
    <row r="40" spans="4:24" ht="16" customHeight="1">
      <c r="D40" s="44"/>
      <c r="E40" s="45"/>
      <c r="F40" s="46"/>
      <c r="G40" s="73"/>
      <c r="H40" s="49"/>
      <c r="I40" s="48"/>
      <c r="J40" s="48">
        <v>884.1</v>
      </c>
      <c r="K40" s="51">
        <v>3</v>
      </c>
      <c r="L40" s="50" t="s">
        <v>293</v>
      </c>
      <c r="M40" s="56" t="s">
        <v>87</v>
      </c>
      <c r="N40" s="51" t="s">
        <v>326</v>
      </c>
      <c r="O40" s="46" t="s">
        <v>25</v>
      </c>
      <c r="Q40" s="51"/>
      <c r="R40" s="51"/>
    </row>
    <row r="41" spans="4:24" ht="16" customHeight="1">
      <c r="D41" s="44"/>
      <c r="E41" s="45">
        <v>8.4091036808092143E-2</v>
      </c>
      <c r="F41" s="46" t="s">
        <v>321</v>
      </c>
      <c r="G41" s="73"/>
      <c r="H41" s="49">
        <v>7362.4</v>
      </c>
      <c r="I41" s="48">
        <v>7367</v>
      </c>
      <c r="J41" s="48">
        <v>598.79999999999995</v>
      </c>
      <c r="K41" s="51">
        <v>2</v>
      </c>
      <c r="L41" s="50" t="s">
        <v>89</v>
      </c>
      <c r="M41" s="51">
        <v>70</v>
      </c>
      <c r="N41" s="51" t="s">
        <v>325</v>
      </c>
      <c r="O41" s="46" t="s">
        <v>25</v>
      </c>
      <c r="R41" s="51"/>
      <c r="W41"/>
    </row>
    <row r="42" spans="4:24" ht="16" customHeight="1">
      <c r="D42" s="54"/>
      <c r="E42" s="53"/>
      <c r="F42" s="46"/>
      <c r="G42" s="73"/>
      <c r="H42" s="49"/>
      <c r="I42" s="49"/>
      <c r="J42" s="48">
        <v>571.29999999999995</v>
      </c>
      <c r="K42" s="51">
        <v>2</v>
      </c>
      <c r="L42" s="50" t="s">
        <v>63</v>
      </c>
      <c r="M42" s="51">
        <v>78</v>
      </c>
      <c r="N42" s="51" t="s">
        <v>323</v>
      </c>
      <c r="O42" s="46" t="s">
        <v>25</v>
      </c>
      <c r="Q42" s="46"/>
      <c r="R42" s="46"/>
    </row>
    <row r="43" spans="4:24" ht="16" customHeight="1">
      <c r="D43" s="54"/>
      <c r="E43" s="46"/>
      <c r="F43" s="46"/>
      <c r="G43" s="73"/>
      <c r="H43" s="49"/>
      <c r="I43" s="49"/>
      <c r="J43" s="48">
        <v>502.8</v>
      </c>
      <c r="K43" s="51">
        <v>2</v>
      </c>
      <c r="L43" s="50" t="s">
        <v>294</v>
      </c>
      <c r="M43" s="56" t="s">
        <v>87</v>
      </c>
      <c r="N43" s="51" t="s">
        <v>323</v>
      </c>
      <c r="O43" s="46" t="s">
        <v>25</v>
      </c>
      <c r="Q43" s="46"/>
      <c r="R43" s="46"/>
    </row>
    <row r="44" spans="4:24" ht="16" customHeight="1">
      <c r="D44" s="54"/>
      <c r="E44" s="46"/>
      <c r="F44" s="46"/>
      <c r="G44" s="73"/>
      <c r="H44" s="49"/>
      <c r="I44" s="49"/>
      <c r="J44" s="48">
        <v>509.8</v>
      </c>
      <c r="K44" s="51">
        <v>2</v>
      </c>
      <c r="L44" s="50" t="s">
        <v>327</v>
      </c>
      <c r="M44" s="56" t="s">
        <v>87</v>
      </c>
      <c r="N44" s="51" t="s">
        <v>323</v>
      </c>
      <c r="O44" s="46" t="s">
        <v>25</v>
      </c>
      <c r="Q44" s="46"/>
      <c r="R44" s="46"/>
    </row>
    <row r="45" spans="4:24" ht="16" customHeight="1">
      <c r="D45" s="54"/>
      <c r="E45" s="46"/>
      <c r="F45" s="46"/>
      <c r="G45" s="73"/>
      <c r="H45" s="11">
        <v>7347.8</v>
      </c>
      <c r="I45" s="11" t="s">
        <v>120</v>
      </c>
      <c r="J45" s="3">
        <v>903.9</v>
      </c>
      <c r="K45" s="2">
        <v>2</v>
      </c>
      <c r="L45" s="4" t="s">
        <v>104</v>
      </c>
      <c r="M45" s="23" t="s">
        <v>87</v>
      </c>
      <c r="N45" s="23" t="s">
        <v>121</v>
      </c>
      <c r="O45" s="2" t="s">
        <v>25</v>
      </c>
      <c r="P45" s="5"/>
      <c r="Q45" s="22">
        <v>7347.3</v>
      </c>
      <c r="R45" s="22">
        <v>7354.4</v>
      </c>
      <c r="S45" s="22">
        <v>1.2090119909999999E-5</v>
      </c>
      <c r="T45" s="22" t="s">
        <v>25</v>
      </c>
      <c r="U45" s="85" t="s">
        <v>989</v>
      </c>
      <c r="V45" s="5"/>
      <c r="W45" s="4" t="s">
        <v>122</v>
      </c>
      <c r="X45" s="2"/>
    </row>
    <row r="46" spans="4:24" ht="16" customHeight="1">
      <c r="D46" s="44">
        <v>8</v>
      </c>
      <c r="E46" s="45">
        <v>21.178962514757998</v>
      </c>
      <c r="F46" s="46" t="s">
        <v>328</v>
      </c>
      <c r="G46" s="73"/>
      <c r="H46" s="52">
        <v>13334.3</v>
      </c>
      <c r="I46" s="47">
        <v>13341</v>
      </c>
      <c r="J46" s="48">
        <v>448.7</v>
      </c>
      <c r="K46" s="51">
        <v>2</v>
      </c>
      <c r="L46" s="50" t="s">
        <v>109</v>
      </c>
      <c r="M46" s="51">
        <v>507</v>
      </c>
      <c r="N46" s="71" t="s">
        <v>377</v>
      </c>
      <c r="O46" s="68" t="s">
        <v>646</v>
      </c>
      <c r="P46" s="68"/>
      <c r="Q46" s="22">
        <v>13333.52</v>
      </c>
      <c r="R46" s="22">
        <v>13347.65</v>
      </c>
      <c r="S46" s="22" t="s">
        <v>966</v>
      </c>
      <c r="T46" s="22" t="s">
        <v>111</v>
      </c>
      <c r="U46" s="85" t="s">
        <v>135</v>
      </c>
      <c r="V46" s="68"/>
      <c r="W46" s="70" t="s">
        <v>136</v>
      </c>
    </row>
    <row r="47" spans="4:24" ht="16" customHeight="1">
      <c r="D47" s="44"/>
      <c r="E47" s="45"/>
      <c r="F47" s="46"/>
      <c r="G47" s="73"/>
      <c r="H47" s="49"/>
      <c r="I47" s="48"/>
      <c r="J47" s="48">
        <v>537.79999999999995</v>
      </c>
      <c r="K47" s="51">
        <v>2</v>
      </c>
      <c r="L47" s="50" t="s">
        <v>112</v>
      </c>
      <c r="M47" s="51"/>
      <c r="N47" s="51"/>
      <c r="O47" s="51"/>
      <c r="Q47" s="51"/>
      <c r="R47" s="51"/>
    </row>
    <row r="48" spans="4:24" ht="16" customHeight="1">
      <c r="D48" s="44"/>
      <c r="E48" s="45"/>
      <c r="F48" s="46"/>
      <c r="G48" s="73"/>
      <c r="H48" s="49"/>
      <c r="I48" s="48"/>
      <c r="J48" s="48">
        <v>916.9</v>
      </c>
      <c r="K48" s="51">
        <v>2</v>
      </c>
      <c r="L48" s="50" t="s">
        <v>113</v>
      </c>
      <c r="M48" s="51"/>
      <c r="N48" s="51"/>
      <c r="O48" s="51"/>
      <c r="Q48" s="51"/>
      <c r="R48" s="51"/>
    </row>
    <row r="49" spans="4:23" ht="16" customHeight="1">
      <c r="D49" s="44"/>
      <c r="E49" s="45"/>
      <c r="F49" s="46"/>
      <c r="G49" s="73"/>
      <c r="H49" s="49"/>
      <c r="I49" s="48"/>
      <c r="J49" s="48">
        <v>980.4</v>
      </c>
      <c r="K49" s="51">
        <v>2</v>
      </c>
      <c r="L49" s="50" t="s">
        <v>119</v>
      </c>
      <c r="M49" s="51"/>
      <c r="N49" s="51"/>
      <c r="O49" s="51"/>
      <c r="Q49" s="51"/>
      <c r="R49" s="51"/>
    </row>
    <row r="50" spans="4:23" ht="16" customHeight="1">
      <c r="D50" s="44"/>
      <c r="E50" s="45"/>
      <c r="F50" s="46"/>
      <c r="G50" s="73"/>
      <c r="H50" s="49"/>
      <c r="I50" s="48"/>
      <c r="J50" s="48">
        <v>718.3</v>
      </c>
      <c r="K50" s="51">
        <v>4</v>
      </c>
      <c r="L50" s="50" t="s">
        <v>295</v>
      </c>
      <c r="M50" s="51"/>
      <c r="N50" s="51"/>
      <c r="O50" s="51"/>
      <c r="Q50" s="51"/>
      <c r="R50" s="51"/>
    </row>
    <row r="51" spans="4:23" ht="16" customHeight="1">
      <c r="D51" s="44"/>
      <c r="E51" s="45"/>
      <c r="F51" s="46"/>
      <c r="G51" s="73"/>
      <c r="H51" s="49"/>
      <c r="I51" s="48"/>
      <c r="J51" s="48">
        <v>1137.8</v>
      </c>
      <c r="K51" s="51">
        <v>3</v>
      </c>
      <c r="L51" s="50" t="s">
        <v>296</v>
      </c>
      <c r="M51" s="51"/>
      <c r="N51" s="51"/>
      <c r="O51" s="51"/>
      <c r="Q51" s="51"/>
      <c r="R51" s="51"/>
    </row>
    <row r="52" spans="4:23" ht="16" customHeight="1">
      <c r="D52" s="44"/>
      <c r="E52" s="45"/>
      <c r="F52" s="46"/>
      <c r="G52" s="73"/>
      <c r="H52" s="49"/>
      <c r="I52" s="48"/>
      <c r="J52" s="48">
        <v>885.6</v>
      </c>
      <c r="K52" s="51">
        <v>4</v>
      </c>
      <c r="L52" s="50" t="s">
        <v>297</v>
      </c>
      <c r="M52" s="51"/>
      <c r="N52" s="51"/>
      <c r="O52" s="51"/>
      <c r="Q52" s="51"/>
      <c r="R52" s="51"/>
    </row>
    <row r="53" spans="4:23" ht="16" customHeight="1">
      <c r="D53" s="44">
        <v>9</v>
      </c>
      <c r="E53" s="45">
        <v>6.2668609799291621</v>
      </c>
      <c r="F53" s="46" t="s">
        <v>328</v>
      </c>
      <c r="G53" s="73"/>
      <c r="H53" s="52">
        <v>13334.3</v>
      </c>
      <c r="I53" s="47" t="s">
        <v>736</v>
      </c>
      <c r="J53" s="48">
        <v>448.7</v>
      </c>
      <c r="K53" s="51">
        <v>2</v>
      </c>
      <c r="L53" s="50" t="s">
        <v>109</v>
      </c>
      <c r="M53" s="51">
        <v>243</v>
      </c>
      <c r="N53" s="71" t="s">
        <v>377</v>
      </c>
      <c r="O53" s="68" t="s">
        <v>646</v>
      </c>
      <c r="P53" s="68"/>
      <c r="Q53" s="22">
        <v>13333.52</v>
      </c>
      <c r="R53" s="22">
        <v>13347.65</v>
      </c>
      <c r="S53" s="22" t="s">
        <v>966</v>
      </c>
      <c r="T53" s="22" t="s">
        <v>111</v>
      </c>
      <c r="U53" s="85" t="s">
        <v>135</v>
      </c>
      <c r="V53" s="68"/>
      <c r="W53" s="70" t="s">
        <v>136</v>
      </c>
    </row>
    <row r="54" spans="4:23" ht="16" customHeight="1">
      <c r="D54" s="44"/>
      <c r="E54" s="45"/>
      <c r="F54" s="46"/>
      <c r="G54" s="73"/>
      <c r="H54" s="49"/>
      <c r="I54" s="48"/>
      <c r="J54" s="48">
        <v>537.79999999999995</v>
      </c>
      <c r="K54" s="51">
        <v>2</v>
      </c>
      <c r="L54" s="50" t="s">
        <v>112</v>
      </c>
      <c r="M54" s="51"/>
      <c r="N54" s="51"/>
      <c r="O54" s="51"/>
      <c r="Q54" s="51"/>
      <c r="R54" s="51"/>
    </row>
    <row r="55" spans="4:23" ht="16" customHeight="1">
      <c r="D55" s="44"/>
      <c r="E55" s="45"/>
      <c r="F55" s="46"/>
      <c r="G55" s="73"/>
      <c r="H55" s="49"/>
      <c r="I55" s="48"/>
      <c r="J55" s="48">
        <v>916.9</v>
      </c>
      <c r="K55" s="51">
        <v>2</v>
      </c>
      <c r="L55" s="50" t="s">
        <v>113</v>
      </c>
      <c r="M55" s="51"/>
      <c r="N55" s="51"/>
      <c r="O55" s="51"/>
      <c r="Q55" s="51"/>
      <c r="R55" s="51"/>
    </row>
    <row r="56" spans="4:23" ht="16" customHeight="1">
      <c r="D56" s="44"/>
      <c r="E56" s="45"/>
      <c r="F56" s="46"/>
      <c r="G56" s="73"/>
      <c r="H56" s="49"/>
      <c r="I56" s="48"/>
      <c r="J56" s="48">
        <v>654</v>
      </c>
      <c r="K56" s="51">
        <v>3</v>
      </c>
      <c r="L56" s="50" t="s">
        <v>119</v>
      </c>
      <c r="M56" s="51"/>
      <c r="N56" s="51"/>
      <c r="O56" s="51"/>
      <c r="Q56" s="51"/>
      <c r="R56" s="51"/>
    </row>
    <row r="57" spans="4:23" ht="16" customHeight="1">
      <c r="D57" s="44">
        <v>10</v>
      </c>
      <c r="E57" s="45">
        <v>8.8569842089728468</v>
      </c>
      <c r="F57" s="46" t="s">
        <v>328</v>
      </c>
      <c r="G57" s="73"/>
      <c r="H57" s="52">
        <v>13334.8</v>
      </c>
      <c r="I57" s="47">
        <v>13341</v>
      </c>
      <c r="J57" s="48">
        <v>799.3</v>
      </c>
      <c r="K57" s="51">
        <v>2</v>
      </c>
      <c r="L57" s="50" t="s">
        <v>117</v>
      </c>
      <c r="M57" s="48">
        <v>191</v>
      </c>
      <c r="N57" s="71" t="s">
        <v>377</v>
      </c>
      <c r="O57" s="68" t="s">
        <v>646</v>
      </c>
      <c r="P57" s="21">
        <v>13333.49</v>
      </c>
      <c r="Q57" s="22">
        <v>13333.52</v>
      </c>
      <c r="R57" s="22">
        <v>13347.65</v>
      </c>
      <c r="S57" s="22" t="s">
        <v>966</v>
      </c>
      <c r="T57" s="22" t="s">
        <v>111</v>
      </c>
      <c r="U57" s="85" t="s">
        <v>135</v>
      </c>
      <c r="W57" s="70" t="s">
        <v>136</v>
      </c>
    </row>
    <row r="58" spans="4:23" ht="16" customHeight="1">
      <c r="D58" s="44"/>
      <c r="E58" s="45"/>
      <c r="F58" s="46"/>
      <c r="G58" s="73"/>
      <c r="H58" s="49"/>
      <c r="I58" s="48"/>
      <c r="J58" s="48">
        <v>916.9</v>
      </c>
      <c r="K58" s="51">
        <v>2</v>
      </c>
      <c r="L58" s="50" t="s">
        <v>113</v>
      </c>
      <c r="M58" s="51"/>
      <c r="N58" s="51"/>
      <c r="O58" s="51"/>
      <c r="Q58" s="51"/>
      <c r="R58" s="51"/>
    </row>
    <row r="59" spans="4:23" ht="16" customHeight="1">
      <c r="D59" s="44"/>
      <c r="E59" s="45">
        <v>0.98410935655253828</v>
      </c>
      <c r="F59" s="46"/>
      <c r="G59" s="73"/>
      <c r="H59" s="52" t="s">
        <v>381</v>
      </c>
      <c r="I59" s="72" t="s">
        <v>378</v>
      </c>
      <c r="J59" s="48">
        <v>487.2</v>
      </c>
      <c r="K59" s="51">
        <v>2</v>
      </c>
      <c r="L59" s="50" t="s">
        <v>125</v>
      </c>
      <c r="M59" s="51">
        <v>179</v>
      </c>
      <c r="N59" s="44" t="s">
        <v>382</v>
      </c>
      <c r="O59" s="68" t="s">
        <v>649</v>
      </c>
      <c r="Q59" s="22">
        <v>13335.54</v>
      </c>
      <c r="R59" s="22">
        <v>13349.65</v>
      </c>
      <c r="S59" s="22" t="s">
        <v>966</v>
      </c>
      <c r="T59" s="22" t="s">
        <v>111</v>
      </c>
      <c r="U59" s="85" t="s">
        <v>571</v>
      </c>
      <c r="W59" s="43" t="s">
        <v>380</v>
      </c>
    </row>
    <row r="60" spans="4:23" ht="16" customHeight="1">
      <c r="D60" s="44"/>
      <c r="E60" s="45"/>
      <c r="F60" s="46" t="s">
        <v>321</v>
      </c>
      <c r="G60" s="73"/>
      <c r="H60" s="52">
        <v>7378.7</v>
      </c>
      <c r="I60" s="47">
        <v>7383</v>
      </c>
      <c r="J60" s="48">
        <v>721.3</v>
      </c>
      <c r="K60" s="51">
        <v>2</v>
      </c>
      <c r="L60" s="50" t="s">
        <v>299</v>
      </c>
      <c r="M60" s="56" t="s">
        <v>87</v>
      </c>
      <c r="N60" s="23" t="s">
        <v>383</v>
      </c>
      <c r="O60" s="2" t="s">
        <v>25</v>
      </c>
      <c r="P60" s="5"/>
      <c r="Q60" s="22">
        <v>7378.5</v>
      </c>
      <c r="R60" s="22">
        <v>7386.57</v>
      </c>
      <c r="S60" s="22" t="s">
        <v>966</v>
      </c>
      <c r="T60" s="22" t="s">
        <v>492</v>
      </c>
      <c r="U60" s="85" t="s">
        <v>990</v>
      </c>
      <c r="V60" s="5"/>
      <c r="W60" s="4" t="s">
        <v>105</v>
      </c>
    </row>
    <row r="61" spans="4:23" ht="16" customHeight="1">
      <c r="D61" s="44">
        <v>11</v>
      </c>
      <c r="E61" s="45">
        <v>3.432428792798111</v>
      </c>
      <c r="F61" s="46" t="s">
        <v>328</v>
      </c>
      <c r="G61" s="73"/>
      <c r="H61" s="52">
        <v>13334.8</v>
      </c>
      <c r="I61" s="47" t="s">
        <v>379</v>
      </c>
      <c r="J61" s="48">
        <v>487.2</v>
      </c>
      <c r="K61" s="51">
        <v>2</v>
      </c>
      <c r="L61" s="50" t="s">
        <v>125</v>
      </c>
      <c r="M61" s="51">
        <v>376</v>
      </c>
      <c r="N61" s="44" t="s">
        <v>382</v>
      </c>
      <c r="O61" s="68" t="s">
        <v>649</v>
      </c>
      <c r="Q61" s="22">
        <v>13335.54</v>
      </c>
      <c r="R61" s="22">
        <v>13349.65</v>
      </c>
      <c r="S61" s="22" t="s">
        <v>966</v>
      </c>
      <c r="T61" s="22" t="s">
        <v>111</v>
      </c>
      <c r="U61" s="85" t="s">
        <v>571</v>
      </c>
      <c r="W61" s="43" t="s">
        <v>380</v>
      </c>
    </row>
    <row r="62" spans="4:23" ht="16" customHeight="1">
      <c r="D62" s="44"/>
      <c r="E62" s="45"/>
      <c r="F62" s="46"/>
      <c r="G62" s="73"/>
      <c r="H62" s="57"/>
      <c r="I62" s="48"/>
      <c r="J62" s="48">
        <v>799.3</v>
      </c>
      <c r="K62" s="51">
        <v>2</v>
      </c>
      <c r="L62" s="50" t="s">
        <v>117</v>
      </c>
      <c r="M62" s="51"/>
      <c r="N62" s="51"/>
      <c r="O62" s="51"/>
      <c r="Q62" s="51"/>
      <c r="R62" s="51"/>
    </row>
    <row r="63" spans="4:23" ht="16" customHeight="1">
      <c r="D63" s="44"/>
      <c r="E63" s="45"/>
      <c r="F63" s="46"/>
      <c r="G63" s="73"/>
      <c r="H63" s="57"/>
      <c r="I63" s="48"/>
      <c r="J63" s="48">
        <v>916.9</v>
      </c>
      <c r="K63" s="51">
        <v>2</v>
      </c>
      <c r="L63" s="50" t="s">
        <v>113</v>
      </c>
      <c r="M63" s="51"/>
      <c r="N63" s="51"/>
      <c r="O63" s="51"/>
      <c r="Q63" s="51"/>
      <c r="R63" s="51"/>
    </row>
    <row r="64" spans="4:23" ht="16" customHeight="1">
      <c r="D64" s="44"/>
      <c r="E64" s="45"/>
      <c r="F64" s="46"/>
      <c r="G64" s="73"/>
      <c r="H64" s="57"/>
      <c r="I64" s="48"/>
      <c r="J64" s="48">
        <v>832.1</v>
      </c>
      <c r="K64" s="51">
        <v>3</v>
      </c>
      <c r="L64" s="50" t="s">
        <v>141</v>
      </c>
      <c r="M64" s="51"/>
      <c r="N64" s="51"/>
      <c r="O64" s="51"/>
      <c r="Q64" s="51"/>
      <c r="R64" s="51"/>
    </row>
    <row r="65" spans="4:23" ht="16" customHeight="1">
      <c r="D65" s="44"/>
      <c r="E65" s="45"/>
      <c r="F65" s="46"/>
      <c r="G65" s="73"/>
      <c r="H65" s="57"/>
      <c r="I65" s="48"/>
      <c r="J65" s="48">
        <v>448.7</v>
      </c>
      <c r="K65" s="51">
        <v>2</v>
      </c>
      <c r="L65" s="50" t="s">
        <v>109</v>
      </c>
      <c r="M65" s="51">
        <v>303</v>
      </c>
      <c r="N65" s="51" t="s">
        <v>329</v>
      </c>
      <c r="O65" s="68" t="s">
        <v>646</v>
      </c>
      <c r="Q65" s="51"/>
      <c r="R65" s="51"/>
    </row>
    <row r="66" spans="4:23" ht="16" customHeight="1">
      <c r="D66" s="44"/>
      <c r="E66" s="45"/>
      <c r="F66" s="46"/>
      <c r="G66" s="73"/>
      <c r="H66" s="57"/>
      <c r="I66" s="48"/>
      <c r="J66" s="48">
        <v>537.79999999999995</v>
      </c>
      <c r="K66" s="51">
        <v>2</v>
      </c>
      <c r="L66" s="50" t="s">
        <v>112</v>
      </c>
      <c r="M66" s="51"/>
      <c r="N66" s="51"/>
      <c r="O66" s="51"/>
      <c r="Q66" s="51"/>
      <c r="R66" s="51"/>
    </row>
    <row r="67" spans="4:23" ht="16" customHeight="1">
      <c r="D67" s="44"/>
      <c r="E67" s="45">
        <v>0.22065414698937399</v>
      </c>
      <c r="F67" s="46" t="s">
        <v>330</v>
      </c>
      <c r="G67" s="73"/>
      <c r="H67" s="15">
        <v>13322.21</v>
      </c>
      <c r="I67" s="26">
        <v>13329.2305</v>
      </c>
      <c r="J67" s="48">
        <v>646.79999999999995</v>
      </c>
      <c r="K67" s="51">
        <v>2</v>
      </c>
      <c r="L67" s="50" t="s">
        <v>300</v>
      </c>
      <c r="M67" s="51">
        <v>376</v>
      </c>
      <c r="N67" s="10" t="s">
        <v>143</v>
      </c>
      <c r="O67" s="2" t="s">
        <v>144</v>
      </c>
      <c r="P67" s="5"/>
      <c r="Q67" s="22">
        <v>13328.19</v>
      </c>
      <c r="R67" s="22">
        <v>13334.29</v>
      </c>
      <c r="S67" s="22" t="s">
        <v>966</v>
      </c>
      <c r="T67" s="22" t="s">
        <v>145</v>
      </c>
      <c r="U67" s="85" t="s">
        <v>146</v>
      </c>
      <c r="V67" s="27"/>
      <c r="W67" s="4" t="s">
        <v>147</v>
      </c>
    </row>
    <row r="68" spans="4:23" ht="16" customHeight="1">
      <c r="D68" s="44"/>
      <c r="E68" s="51"/>
      <c r="F68" s="46"/>
      <c r="G68" s="73"/>
      <c r="H68" s="57"/>
      <c r="I68" s="48"/>
      <c r="J68" s="48">
        <v>690.3</v>
      </c>
      <c r="K68" s="51">
        <v>2</v>
      </c>
      <c r="L68" s="50" t="s">
        <v>301</v>
      </c>
      <c r="M68" s="51"/>
      <c r="N68" s="51"/>
      <c r="O68" s="51"/>
      <c r="Q68" s="51"/>
      <c r="R68" s="51"/>
    </row>
    <row r="69" spans="4:23" ht="16" customHeight="1">
      <c r="D69" s="44"/>
      <c r="E69" s="51"/>
      <c r="F69" s="46"/>
      <c r="G69" s="73"/>
      <c r="H69" s="57"/>
      <c r="I69" s="48"/>
      <c r="J69" s="48">
        <v>1026</v>
      </c>
      <c r="K69" s="51">
        <v>2</v>
      </c>
      <c r="L69" s="50" t="s">
        <v>302</v>
      </c>
      <c r="M69" s="51"/>
      <c r="N69" s="51"/>
      <c r="O69" s="51"/>
      <c r="Q69" s="51"/>
      <c r="R69" s="51"/>
    </row>
    <row r="70" spans="4:23" ht="16" customHeight="1">
      <c r="D70" s="44"/>
      <c r="E70" s="51"/>
      <c r="F70" s="46"/>
      <c r="G70" s="73"/>
      <c r="H70" s="57"/>
      <c r="I70" s="48"/>
      <c r="J70" s="48">
        <v>749.7</v>
      </c>
      <c r="K70" s="51">
        <v>3</v>
      </c>
      <c r="L70" s="50" t="s">
        <v>142</v>
      </c>
      <c r="M70" s="51"/>
      <c r="N70" s="51"/>
      <c r="O70" s="51"/>
      <c r="Q70" s="51"/>
      <c r="R70" s="51"/>
    </row>
    <row r="71" spans="4:23" ht="16" customHeight="1">
      <c r="D71" s="44">
        <v>12</v>
      </c>
      <c r="E71" s="45">
        <v>0.33</v>
      </c>
      <c r="F71" s="46" t="s">
        <v>996</v>
      </c>
      <c r="G71" s="73"/>
      <c r="H71" s="57"/>
      <c r="I71" s="48"/>
      <c r="J71" s="48">
        <v>677.4</v>
      </c>
      <c r="K71" s="51">
        <v>2</v>
      </c>
      <c r="L71" s="50" t="s">
        <v>303</v>
      </c>
      <c r="M71" s="56" t="s">
        <v>87</v>
      </c>
      <c r="N71" s="51" t="s">
        <v>332</v>
      </c>
      <c r="O71" s="51" t="s">
        <v>166</v>
      </c>
      <c r="Q71" s="51"/>
      <c r="R71" s="51"/>
    </row>
    <row r="72" spans="4:23" ht="16" customHeight="1">
      <c r="D72" s="44"/>
      <c r="E72" s="45"/>
      <c r="F72" s="46"/>
      <c r="G72" s="73"/>
      <c r="H72" s="57"/>
      <c r="I72" s="48"/>
      <c r="J72" s="48">
        <v>877.4</v>
      </c>
      <c r="K72" s="51">
        <v>2</v>
      </c>
      <c r="L72" s="50" t="s">
        <v>304</v>
      </c>
      <c r="M72" s="56" t="s">
        <v>87</v>
      </c>
      <c r="N72" s="51" t="s">
        <v>333</v>
      </c>
      <c r="O72" s="51" t="s">
        <v>166</v>
      </c>
      <c r="Q72" s="51"/>
      <c r="R72" s="51"/>
    </row>
    <row r="73" spans="4:23" ht="16" customHeight="1">
      <c r="D73" s="44"/>
      <c r="E73" s="45"/>
      <c r="F73" s="46"/>
      <c r="G73" s="73"/>
      <c r="H73" s="57"/>
      <c r="I73" s="48"/>
      <c r="J73" s="48">
        <v>504.3</v>
      </c>
      <c r="K73" s="51">
        <v>2</v>
      </c>
      <c r="L73" s="50" t="s">
        <v>305</v>
      </c>
      <c r="M73" s="56" t="s">
        <v>87</v>
      </c>
      <c r="N73" s="51" t="s">
        <v>332</v>
      </c>
      <c r="O73" s="51" t="s">
        <v>166</v>
      </c>
      <c r="Q73" s="51"/>
      <c r="R73" s="51"/>
    </row>
    <row r="74" spans="4:23" ht="16" customHeight="1">
      <c r="D74" s="44"/>
      <c r="E74" s="45">
        <v>5.94</v>
      </c>
      <c r="F74" s="46" t="s">
        <v>334</v>
      </c>
      <c r="G74" s="73"/>
      <c r="H74" s="57"/>
      <c r="I74" s="48"/>
      <c r="J74" s="48">
        <v>649.29999999999995</v>
      </c>
      <c r="K74" s="51">
        <v>2</v>
      </c>
      <c r="L74" s="50" t="s">
        <v>172</v>
      </c>
      <c r="M74" s="51">
        <v>67</v>
      </c>
      <c r="N74" s="51" t="s">
        <v>335</v>
      </c>
      <c r="O74" s="51" t="s">
        <v>166</v>
      </c>
      <c r="Q74" s="51"/>
      <c r="R74" s="51"/>
    </row>
    <row r="75" spans="4:23" ht="16" customHeight="1">
      <c r="D75" s="44"/>
      <c r="E75" s="45"/>
      <c r="F75" s="46"/>
      <c r="G75" s="73"/>
      <c r="H75" s="57"/>
      <c r="I75" s="48"/>
      <c r="J75" s="48">
        <v>677.4</v>
      </c>
      <c r="K75" s="51">
        <v>2</v>
      </c>
      <c r="L75" s="50" t="s">
        <v>303</v>
      </c>
      <c r="M75" s="56" t="s">
        <v>87</v>
      </c>
      <c r="N75" s="51" t="s">
        <v>332</v>
      </c>
      <c r="O75" s="51" t="s">
        <v>166</v>
      </c>
      <c r="Q75" s="51"/>
      <c r="R75" s="51"/>
    </row>
    <row r="76" spans="4:23" ht="16" customHeight="1">
      <c r="D76" s="44"/>
      <c r="E76" s="45"/>
      <c r="F76" s="46"/>
      <c r="G76" s="73"/>
      <c r="H76" s="57"/>
      <c r="I76" s="48"/>
      <c r="J76" s="48">
        <v>487.3</v>
      </c>
      <c r="K76" s="51">
        <v>2</v>
      </c>
      <c r="L76" s="50" t="s">
        <v>306</v>
      </c>
      <c r="M76" s="56" t="s">
        <v>87</v>
      </c>
      <c r="N76" s="51" t="s">
        <v>336</v>
      </c>
      <c r="O76" s="51" t="s">
        <v>166</v>
      </c>
      <c r="Q76" s="51"/>
      <c r="R76" s="51"/>
    </row>
    <row r="77" spans="4:23" ht="16" customHeight="1">
      <c r="D77" s="44"/>
      <c r="E77" s="45">
        <v>0.33</v>
      </c>
      <c r="F77" s="46" t="s">
        <v>337</v>
      </c>
      <c r="G77" s="73"/>
      <c r="H77" s="57"/>
      <c r="I77" s="48">
        <v>26681.93</v>
      </c>
      <c r="J77" s="48">
        <v>598.29999999999995</v>
      </c>
      <c r="K77" s="51">
        <v>2</v>
      </c>
      <c r="L77" s="50" t="s">
        <v>181</v>
      </c>
      <c r="M77" s="51">
        <v>107</v>
      </c>
      <c r="N77" s="56" t="s">
        <v>338</v>
      </c>
      <c r="O77" s="51" t="s">
        <v>183</v>
      </c>
      <c r="Q77" s="51"/>
      <c r="R77" s="51"/>
    </row>
    <row r="78" spans="4:23" ht="16" customHeight="1">
      <c r="D78" s="44"/>
      <c r="E78" s="51"/>
      <c r="F78" s="46"/>
      <c r="G78" s="73"/>
      <c r="H78" s="57"/>
      <c r="I78" s="48"/>
      <c r="J78" s="48">
        <v>634.29999999999995</v>
      </c>
      <c r="K78" s="51">
        <v>2</v>
      </c>
      <c r="L78" s="50" t="s">
        <v>202</v>
      </c>
      <c r="M78" s="58"/>
      <c r="N78" s="58"/>
      <c r="O78" s="46"/>
      <c r="Q78" s="51"/>
      <c r="R78" s="51"/>
    </row>
    <row r="79" spans="4:23" ht="16" customHeight="1">
      <c r="D79" s="44">
        <v>13</v>
      </c>
      <c r="E79" s="53">
        <v>9.9990000000000009E-2</v>
      </c>
      <c r="F79" s="46" t="s">
        <v>339</v>
      </c>
      <c r="G79" s="73"/>
      <c r="H79" s="57"/>
      <c r="I79" s="48"/>
      <c r="J79" s="48">
        <v>575.79999999999995</v>
      </c>
      <c r="K79" s="51">
        <v>2</v>
      </c>
      <c r="L79" s="50" t="s">
        <v>185</v>
      </c>
      <c r="M79" s="51">
        <v>110</v>
      </c>
      <c r="N79" s="56" t="s">
        <v>340</v>
      </c>
      <c r="O79" s="51" t="s">
        <v>183</v>
      </c>
      <c r="Q79" s="51"/>
      <c r="R79" s="51"/>
    </row>
    <row r="80" spans="4:23" ht="16" customHeight="1">
      <c r="D80" s="44"/>
      <c r="E80" s="51"/>
      <c r="F80" s="46"/>
      <c r="G80" s="73"/>
      <c r="H80" s="57"/>
      <c r="I80" s="48"/>
      <c r="J80" s="48">
        <v>598.29999999999995</v>
      </c>
      <c r="K80" s="51">
        <v>2</v>
      </c>
      <c r="L80" s="50" t="s">
        <v>181</v>
      </c>
      <c r="M80" s="51"/>
      <c r="N80" s="51"/>
      <c r="O80" s="51"/>
      <c r="Q80" s="51"/>
      <c r="R80" s="51"/>
    </row>
    <row r="81" spans="4:18" ht="16" customHeight="1">
      <c r="D81" s="44"/>
      <c r="E81" s="51"/>
      <c r="F81" s="46"/>
      <c r="G81" s="73"/>
      <c r="H81" s="57"/>
      <c r="I81" s="48"/>
      <c r="J81" s="48">
        <v>584.79999999999995</v>
      </c>
      <c r="K81" s="51">
        <v>2</v>
      </c>
      <c r="L81" s="50" t="s">
        <v>191</v>
      </c>
      <c r="M81" s="51"/>
      <c r="N81" s="56"/>
      <c r="O81" s="51"/>
      <c r="Q81" s="51"/>
      <c r="R81" s="51"/>
    </row>
    <row r="82" spans="4:18" ht="16" customHeight="1">
      <c r="D82" s="44"/>
      <c r="E82" s="45">
        <v>9.9990000000000009E-2</v>
      </c>
      <c r="F82" s="46" t="s">
        <v>341</v>
      </c>
      <c r="G82" s="73"/>
      <c r="H82" s="57"/>
      <c r="I82" s="48"/>
      <c r="J82" s="48">
        <v>575.79999999999995</v>
      </c>
      <c r="K82" s="51">
        <v>2</v>
      </c>
      <c r="L82" s="50" t="s">
        <v>185</v>
      </c>
      <c r="M82" s="51">
        <v>190</v>
      </c>
      <c r="N82" s="56" t="s">
        <v>340</v>
      </c>
      <c r="O82" s="51" t="s">
        <v>183</v>
      </c>
      <c r="Q82" s="51"/>
      <c r="R82" s="51"/>
    </row>
    <row r="83" spans="4:18" ht="16" customHeight="1">
      <c r="D83" s="44"/>
      <c r="E83" s="51"/>
      <c r="F83" s="46"/>
      <c r="G83" s="73"/>
      <c r="H83" s="57"/>
      <c r="I83" s="48"/>
      <c r="J83" s="48">
        <v>598.29999999999995</v>
      </c>
      <c r="K83" s="51">
        <v>2</v>
      </c>
      <c r="L83" s="50" t="s">
        <v>181</v>
      </c>
      <c r="M83" s="51"/>
      <c r="N83" s="51"/>
      <c r="O83" s="51"/>
      <c r="Q83" s="51"/>
      <c r="R83" s="51"/>
    </row>
    <row r="84" spans="4:18" ht="16" customHeight="1">
      <c r="D84" s="44"/>
      <c r="E84" s="51"/>
      <c r="F84" s="46"/>
      <c r="G84" s="73"/>
      <c r="H84" s="57"/>
      <c r="I84" s="48"/>
      <c r="J84" s="48">
        <v>484.6</v>
      </c>
      <c r="K84" s="51">
        <v>3</v>
      </c>
      <c r="L84" s="50" t="s">
        <v>186</v>
      </c>
      <c r="M84" s="51"/>
      <c r="N84" s="51"/>
      <c r="O84" s="51"/>
      <c r="Q84" s="51"/>
      <c r="R84" s="51"/>
    </row>
    <row r="85" spans="4:18" ht="16" customHeight="1">
      <c r="D85" s="44"/>
      <c r="E85" s="51"/>
      <c r="F85" s="46"/>
      <c r="G85" s="73"/>
      <c r="H85" s="57"/>
      <c r="I85" s="48"/>
      <c r="J85" s="48">
        <v>634.29999999999995</v>
      </c>
      <c r="K85" s="51">
        <v>2</v>
      </c>
      <c r="L85" s="50" t="s">
        <v>202</v>
      </c>
      <c r="M85" s="51">
        <v>165</v>
      </c>
      <c r="N85" s="56" t="s">
        <v>338</v>
      </c>
      <c r="O85" s="51" t="s">
        <v>183</v>
      </c>
      <c r="Q85" s="51"/>
      <c r="R85" s="51"/>
    </row>
    <row r="86" spans="4:18" ht="16" customHeight="1">
      <c r="D86" s="44"/>
      <c r="E86" s="45">
        <v>0.10302</v>
      </c>
      <c r="F86" s="46" t="s">
        <v>342</v>
      </c>
      <c r="G86" s="73"/>
      <c r="H86" s="57"/>
      <c r="I86" s="48">
        <v>25037.9</v>
      </c>
      <c r="J86" s="48">
        <v>567.79999999999995</v>
      </c>
      <c r="K86" s="51">
        <v>2</v>
      </c>
      <c r="L86" s="50" t="s">
        <v>190</v>
      </c>
      <c r="M86" s="51">
        <v>284</v>
      </c>
      <c r="N86" s="56" t="s">
        <v>340</v>
      </c>
      <c r="O86" s="51" t="s">
        <v>183</v>
      </c>
      <c r="Q86" s="51"/>
      <c r="R86" s="51"/>
    </row>
    <row r="87" spans="4:18" ht="16" customHeight="1">
      <c r="D87" s="44"/>
      <c r="E87" s="51"/>
      <c r="F87" s="46"/>
      <c r="G87" s="73"/>
      <c r="H87" s="57"/>
      <c r="I87" s="48"/>
      <c r="J87" s="48">
        <v>598.29999999999995</v>
      </c>
      <c r="K87" s="51">
        <v>2</v>
      </c>
      <c r="L87" s="50" t="s">
        <v>181</v>
      </c>
      <c r="M87" s="51"/>
      <c r="N87" s="51"/>
      <c r="O87" s="51"/>
      <c r="Q87" s="51"/>
      <c r="R87" s="51"/>
    </row>
    <row r="88" spans="4:18" ht="16" customHeight="1">
      <c r="D88" s="44"/>
      <c r="E88" s="51"/>
      <c r="F88" s="46"/>
      <c r="G88" s="73"/>
      <c r="H88" s="57"/>
      <c r="I88" s="48"/>
      <c r="J88" s="48">
        <v>484.6</v>
      </c>
      <c r="K88" s="51">
        <v>3</v>
      </c>
      <c r="L88" s="50" t="s">
        <v>186</v>
      </c>
      <c r="M88" s="51"/>
      <c r="N88" s="51"/>
      <c r="O88" s="51"/>
      <c r="Q88" s="51"/>
      <c r="R88" s="51"/>
    </row>
    <row r="89" spans="4:18" ht="16" customHeight="1">
      <c r="D89" s="44"/>
      <c r="E89" s="51"/>
      <c r="F89" s="46"/>
      <c r="G89" s="73"/>
      <c r="H89" s="57"/>
      <c r="I89" s="48"/>
      <c r="J89" s="48">
        <v>918.8</v>
      </c>
      <c r="K89" s="51">
        <v>3</v>
      </c>
      <c r="L89" s="50" t="s">
        <v>184</v>
      </c>
      <c r="M89" s="51"/>
      <c r="N89" s="51"/>
      <c r="O89" s="51"/>
      <c r="Q89" s="51"/>
      <c r="R89" s="51"/>
    </row>
    <row r="90" spans="4:18" ht="16" customHeight="1">
      <c r="D90" s="44"/>
      <c r="E90" s="51"/>
      <c r="F90" s="46"/>
      <c r="G90" s="73"/>
      <c r="H90" s="57"/>
      <c r="I90" s="48"/>
      <c r="J90" s="48">
        <v>634.29999999999995</v>
      </c>
      <c r="K90" s="51">
        <v>2</v>
      </c>
      <c r="L90" s="50" t="s">
        <v>202</v>
      </c>
      <c r="M90" s="51">
        <v>142</v>
      </c>
      <c r="N90" s="56" t="s">
        <v>338</v>
      </c>
      <c r="O90" s="51" t="s">
        <v>183</v>
      </c>
      <c r="Q90" s="51"/>
      <c r="R90" s="51"/>
    </row>
    <row r="91" spans="4:18" ht="16" customHeight="1">
      <c r="D91" s="44">
        <v>14</v>
      </c>
      <c r="E91" s="45">
        <v>0.11462551750094091</v>
      </c>
      <c r="F91" s="46" t="s">
        <v>339</v>
      </c>
      <c r="G91" s="73"/>
      <c r="H91" s="57"/>
      <c r="J91" s="48">
        <v>598.29999999999995</v>
      </c>
      <c r="K91" s="51">
        <v>2</v>
      </c>
      <c r="L91" s="50" t="s">
        <v>181</v>
      </c>
      <c r="M91" s="51">
        <v>155</v>
      </c>
      <c r="N91" s="56" t="s">
        <v>340</v>
      </c>
      <c r="O91" s="51" t="s">
        <v>183</v>
      </c>
      <c r="Q91" s="51"/>
      <c r="R91" s="51"/>
    </row>
    <row r="92" spans="4:18" ht="16" customHeight="1">
      <c r="D92" s="44"/>
      <c r="E92" s="45"/>
      <c r="F92" s="46"/>
      <c r="G92" s="73"/>
      <c r="H92" s="57"/>
      <c r="I92" s="48"/>
      <c r="J92" s="48">
        <v>918.8</v>
      </c>
      <c r="K92" s="51">
        <v>3</v>
      </c>
      <c r="L92" s="50" t="s">
        <v>184</v>
      </c>
      <c r="M92" s="51"/>
      <c r="N92" s="51"/>
      <c r="O92" s="51"/>
      <c r="Q92" s="51"/>
      <c r="R92" s="51"/>
    </row>
    <row r="93" spans="4:18" ht="16" customHeight="1">
      <c r="D93" s="44"/>
      <c r="E93" s="45"/>
      <c r="F93" s="46"/>
      <c r="G93" s="73"/>
      <c r="H93" s="57"/>
      <c r="I93" s="48"/>
      <c r="J93" s="48">
        <v>634.29999999999995</v>
      </c>
      <c r="K93" s="51">
        <v>2</v>
      </c>
      <c r="L93" s="50" t="s">
        <v>202</v>
      </c>
      <c r="M93" s="51">
        <v>144</v>
      </c>
      <c r="N93" s="56" t="s">
        <v>338</v>
      </c>
      <c r="O93" s="51" t="s">
        <v>183</v>
      </c>
      <c r="Q93" s="51"/>
      <c r="R93" s="51"/>
    </row>
    <row r="94" spans="4:18" ht="16" customHeight="1">
      <c r="D94" s="44"/>
      <c r="E94" s="45">
        <v>7.6417011667293935E-2</v>
      </c>
      <c r="F94" s="46" t="s">
        <v>341</v>
      </c>
      <c r="G94" s="73"/>
      <c r="H94" s="57"/>
      <c r="I94" s="48" t="s">
        <v>737</v>
      </c>
      <c r="J94" s="48">
        <v>575.79999999999995</v>
      </c>
      <c r="K94" s="51">
        <v>2</v>
      </c>
      <c r="L94" s="50" t="s">
        <v>185</v>
      </c>
      <c r="M94" s="51">
        <v>323</v>
      </c>
      <c r="N94" s="56" t="s">
        <v>340</v>
      </c>
      <c r="O94" s="51" t="s">
        <v>183</v>
      </c>
      <c r="Q94" s="51"/>
      <c r="R94" s="51"/>
    </row>
    <row r="95" spans="4:18" ht="16" customHeight="1">
      <c r="D95" s="44"/>
      <c r="E95" s="45"/>
      <c r="F95" s="46"/>
      <c r="G95" s="73"/>
      <c r="H95" s="57"/>
      <c r="I95" s="48"/>
      <c r="J95" s="48">
        <v>598.29999999999995</v>
      </c>
      <c r="K95" s="51">
        <v>2</v>
      </c>
      <c r="L95" s="50" t="s">
        <v>181</v>
      </c>
      <c r="M95" s="51"/>
      <c r="N95" s="51"/>
      <c r="O95" s="51"/>
      <c r="Q95" s="51"/>
      <c r="R95" s="51"/>
    </row>
    <row r="96" spans="4:18" ht="16" customHeight="1">
      <c r="D96" s="44"/>
      <c r="E96" s="45"/>
      <c r="F96" s="46"/>
      <c r="G96" s="73"/>
      <c r="H96" s="57"/>
      <c r="I96" s="48"/>
      <c r="J96" s="48">
        <v>484.6</v>
      </c>
      <c r="K96" s="51">
        <v>3</v>
      </c>
      <c r="L96" s="50" t="s">
        <v>186</v>
      </c>
      <c r="M96" s="51"/>
      <c r="N96" s="51"/>
      <c r="O96" s="51"/>
      <c r="Q96" s="51"/>
      <c r="R96" s="51"/>
    </row>
    <row r="97" spans="4:18" ht="16" customHeight="1">
      <c r="D97" s="44"/>
      <c r="E97" s="45"/>
      <c r="F97" s="46"/>
      <c r="G97" s="73"/>
      <c r="H97" s="57"/>
      <c r="I97" s="48"/>
      <c r="J97" s="48">
        <v>918.8</v>
      </c>
      <c r="K97" s="51">
        <v>3</v>
      </c>
      <c r="L97" s="50" t="s">
        <v>184</v>
      </c>
      <c r="M97" s="51"/>
      <c r="N97" s="51"/>
      <c r="O97" s="51"/>
      <c r="Q97" s="51"/>
      <c r="R97" s="51"/>
    </row>
    <row r="98" spans="4:18" ht="16" customHeight="1">
      <c r="D98" s="44"/>
      <c r="E98" s="45"/>
      <c r="F98" s="46"/>
      <c r="G98" s="73"/>
      <c r="H98" s="57"/>
      <c r="I98" s="48"/>
      <c r="J98" s="48">
        <v>584.79999999999995</v>
      </c>
      <c r="K98" s="51">
        <v>2</v>
      </c>
      <c r="L98" s="50" t="s">
        <v>191</v>
      </c>
      <c r="M98" s="51"/>
      <c r="N98" s="56"/>
      <c r="O98" s="51"/>
      <c r="Q98" s="51"/>
      <c r="R98" s="51"/>
    </row>
    <row r="99" spans="4:18" ht="16" customHeight="1">
      <c r="D99" s="44"/>
      <c r="E99" s="45">
        <v>0.19104252916823486</v>
      </c>
      <c r="F99" s="46" t="s">
        <v>342</v>
      </c>
      <c r="G99" s="73"/>
      <c r="H99" s="57"/>
      <c r="I99" s="48"/>
      <c r="J99" s="48">
        <v>598.29999999999995</v>
      </c>
      <c r="K99" s="51">
        <v>2</v>
      </c>
      <c r="L99" s="50" t="s">
        <v>181</v>
      </c>
      <c r="M99" s="51">
        <v>294</v>
      </c>
      <c r="N99" s="56" t="s">
        <v>340</v>
      </c>
      <c r="O99" s="51" t="s">
        <v>183</v>
      </c>
      <c r="Q99" s="51"/>
      <c r="R99" s="51"/>
    </row>
    <row r="100" spans="4:18" ht="16" customHeight="1">
      <c r="D100" s="44"/>
      <c r="E100" s="45"/>
      <c r="F100" s="46"/>
      <c r="G100" s="73"/>
      <c r="H100" s="57"/>
      <c r="I100" s="48"/>
      <c r="J100" s="48">
        <v>575.79999999999995</v>
      </c>
      <c r="K100" s="51">
        <v>2</v>
      </c>
      <c r="L100" s="50" t="s">
        <v>185</v>
      </c>
      <c r="M100" s="51"/>
      <c r="N100" s="51"/>
      <c r="O100" s="51"/>
      <c r="Q100" s="51"/>
      <c r="R100" s="51"/>
    </row>
    <row r="101" spans="4:18" ht="16" customHeight="1">
      <c r="D101" s="44"/>
      <c r="E101" s="45"/>
      <c r="F101" s="46"/>
      <c r="G101" s="73"/>
      <c r="H101" s="57"/>
      <c r="I101" s="48"/>
      <c r="J101" s="48">
        <v>611.29999999999995</v>
      </c>
      <c r="K101" s="51">
        <v>3</v>
      </c>
      <c r="L101" s="50" t="s">
        <v>187</v>
      </c>
      <c r="M101" s="51"/>
      <c r="N101" s="51"/>
      <c r="O101" s="51"/>
      <c r="Q101" s="51"/>
      <c r="R101" s="51"/>
    </row>
    <row r="102" spans="4:18" ht="16" customHeight="1">
      <c r="D102" s="44"/>
      <c r="E102" s="45"/>
      <c r="F102" s="46"/>
      <c r="G102" s="73"/>
      <c r="H102" s="57"/>
      <c r="I102" s="48"/>
      <c r="J102" s="48">
        <v>634.29999999999995</v>
      </c>
      <c r="K102" s="51">
        <v>2</v>
      </c>
      <c r="L102" s="50" t="s">
        <v>202</v>
      </c>
      <c r="M102" s="51">
        <v>185</v>
      </c>
      <c r="N102" s="56" t="s">
        <v>338</v>
      </c>
      <c r="O102" s="51" t="s">
        <v>183</v>
      </c>
      <c r="Q102" s="51"/>
      <c r="R102" s="51"/>
    </row>
    <row r="103" spans="4:18" ht="16" customHeight="1">
      <c r="D103" s="44">
        <v>15</v>
      </c>
      <c r="E103" s="45">
        <v>0.63613097478359049</v>
      </c>
      <c r="F103" s="46" t="s">
        <v>331</v>
      </c>
      <c r="G103" s="73"/>
      <c r="H103" s="57"/>
      <c r="I103" s="48"/>
      <c r="J103" s="48">
        <v>598.29999999999995</v>
      </c>
      <c r="K103" s="51">
        <v>2</v>
      </c>
      <c r="L103" s="50" t="s">
        <v>181</v>
      </c>
      <c r="M103" s="51">
        <v>129</v>
      </c>
      <c r="N103" s="56" t="s">
        <v>340</v>
      </c>
      <c r="O103" s="51" t="s">
        <v>183</v>
      </c>
      <c r="Q103" s="51"/>
      <c r="R103" s="51"/>
    </row>
    <row r="104" spans="4:18" ht="16" customHeight="1">
      <c r="D104" s="44"/>
      <c r="E104" s="45"/>
      <c r="F104" s="46"/>
      <c r="G104" s="73"/>
      <c r="H104" s="57"/>
      <c r="I104" s="48"/>
      <c r="J104" s="48">
        <v>575.79999999999995</v>
      </c>
      <c r="K104" s="51">
        <v>2</v>
      </c>
      <c r="L104" s="50" t="s">
        <v>185</v>
      </c>
      <c r="M104" s="51"/>
      <c r="N104" s="51"/>
      <c r="O104" s="51"/>
      <c r="Q104" s="51"/>
      <c r="R104" s="51"/>
    </row>
    <row r="105" spans="4:18" ht="16" customHeight="1">
      <c r="D105" s="44"/>
      <c r="E105" s="45">
        <v>0.31806548739179524</v>
      </c>
      <c r="F105" s="46" t="s">
        <v>334</v>
      </c>
      <c r="G105" s="73"/>
      <c r="H105" s="57"/>
      <c r="I105" s="48"/>
      <c r="J105" s="48">
        <v>575.79999999999995</v>
      </c>
      <c r="K105" s="51">
        <v>2</v>
      </c>
      <c r="L105" s="50" t="s">
        <v>185</v>
      </c>
      <c r="M105" s="51">
        <v>122</v>
      </c>
      <c r="N105" s="56" t="s">
        <v>340</v>
      </c>
      <c r="O105" s="51" t="s">
        <v>183</v>
      </c>
      <c r="Q105" s="51"/>
      <c r="R105" s="51"/>
    </row>
    <row r="106" spans="4:18" ht="16" customHeight="1">
      <c r="D106" s="44"/>
      <c r="E106" s="45"/>
      <c r="F106" s="46"/>
      <c r="G106" s="73"/>
      <c r="H106" s="57"/>
      <c r="I106" s="48"/>
      <c r="J106" s="48">
        <v>598.29999999999995</v>
      </c>
      <c r="K106" s="51">
        <v>2</v>
      </c>
      <c r="L106" s="50" t="s">
        <v>181</v>
      </c>
      <c r="M106" s="51"/>
      <c r="N106" s="51"/>
      <c r="O106" s="51"/>
      <c r="Q106" s="51"/>
      <c r="R106" s="51"/>
    </row>
    <row r="107" spans="4:18" ht="16" customHeight="1">
      <c r="D107" s="44"/>
      <c r="E107" s="45">
        <v>0.31806548739179502</v>
      </c>
      <c r="F107" s="46" t="s">
        <v>343</v>
      </c>
      <c r="G107" s="73"/>
      <c r="H107" s="57"/>
      <c r="I107" s="48"/>
      <c r="J107" s="48">
        <v>649.29999999999995</v>
      </c>
      <c r="K107" s="51">
        <v>2</v>
      </c>
      <c r="L107" s="50" t="s">
        <v>172</v>
      </c>
      <c r="M107" s="51">
        <v>74</v>
      </c>
      <c r="N107" s="51" t="s">
        <v>335</v>
      </c>
      <c r="O107" s="51" t="s">
        <v>166</v>
      </c>
      <c r="Q107" s="51"/>
      <c r="R107" s="51"/>
    </row>
    <row r="108" spans="4:18" ht="16" customHeight="1">
      <c r="D108" s="44"/>
      <c r="E108" s="45"/>
      <c r="F108" s="46"/>
      <c r="G108" s="73"/>
      <c r="H108" s="57"/>
      <c r="I108" s="48"/>
      <c r="J108" s="48">
        <v>487.3</v>
      </c>
      <c r="K108" s="51">
        <v>2</v>
      </c>
      <c r="L108" s="50" t="s">
        <v>306</v>
      </c>
      <c r="M108" s="56" t="s">
        <v>87</v>
      </c>
      <c r="N108" s="51" t="s">
        <v>336</v>
      </c>
      <c r="O108" s="51" t="s">
        <v>166</v>
      </c>
      <c r="Q108" s="51"/>
      <c r="R108" s="51"/>
    </row>
    <row r="109" spans="4:18" ht="16" customHeight="1">
      <c r="D109" s="44"/>
      <c r="E109" s="45"/>
      <c r="F109" s="46"/>
      <c r="G109" s="73"/>
      <c r="H109" s="57"/>
      <c r="I109" s="48"/>
      <c r="J109" s="48">
        <v>491.6</v>
      </c>
      <c r="K109" s="51">
        <v>3</v>
      </c>
      <c r="L109" s="50" t="s">
        <v>307</v>
      </c>
      <c r="M109" s="56" t="s">
        <v>87</v>
      </c>
      <c r="N109" s="51" t="s">
        <v>344</v>
      </c>
      <c r="O109" s="51" t="s">
        <v>166</v>
      </c>
      <c r="Q109" s="51"/>
      <c r="R109" s="51"/>
    </row>
    <row r="110" spans="4:18" ht="16" customHeight="1">
      <c r="D110" s="44"/>
      <c r="E110" s="45">
        <v>0.31806548739179524</v>
      </c>
      <c r="F110" s="46" t="s">
        <v>345</v>
      </c>
      <c r="G110" s="73"/>
      <c r="H110" s="57"/>
      <c r="I110" s="48"/>
      <c r="J110" s="48">
        <v>598.29999999999995</v>
      </c>
      <c r="K110" s="51">
        <v>2</v>
      </c>
      <c r="L110" s="50" t="s">
        <v>181</v>
      </c>
      <c r="M110" s="51">
        <v>138</v>
      </c>
      <c r="N110" s="56" t="s">
        <v>338</v>
      </c>
      <c r="O110" s="51" t="s">
        <v>183</v>
      </c>
      <c r="Q110" s="51"/>
      <c r="R110" s="51"/>
    </row>
    <row r="111" spans="4:18" ht="16" customHeight="1">
      <c r="D111" s="44"/>
      <c r="E111" s="45"/>
      <c r="F111" s="46"/>
      <c r="G111" s="73"/>
      <c r="H111" s="57"/>
      <c r="I111" s="48"/>
      <c r="J111" s="48">
        <v>634.29999999999995</v>
      </c>
      <c r="K111" s="51">
        <v>2</v>
      </c>
      <c r="L111" s="50" t="s">
        <v>202</v>
      </c>
      <c r="M111" s="51"/>
      <c r="N111" s="51"/>
      <c r="O111" s="51"/>
      <c r="Q111" s="51"/>
      <c r="R111" s="51"/>
    </row>
    <row r="112" spans="4:18" ht="16" customHeight="1">
      <c r="D112" s="44"/>
      <c r="E112" s="45"/>
      <c r="F112" s="46"/>
      <c r="G112" s="73"/>
      <c r="H112" s="57"/>
      <c r="I112" s="48"/>
      <c r="J112" s="48">
        <v>567.79999999999995</v>
      </c>
      <c r="K112" s="51">
        <v>2</v>
      </c>
      <c r="L112" s="50" t="s">
        <v>190</v>
      </c>
      <c r="M112" s="51">
        <v>103</v>
      </c>
      <c r="N112" s="56" t="s">
        <v>340</v>
      </c>
      <c r="O112" s="51" t="s">
        <v>183</v>
      </c>
      <c r="Q112" s="51"/>
      <c r="R112" s="51"/>
    </row>
    <row r="113" spans="4:18" ht="16" customHeight="1">
      <c r="D113" s="44"/>
      <c r="E113" s="45">
        <v>1.5903274369589764</v>
      </c>
      <c r="F113" s="46" t="s">
        <v>346</v>
      </c>
      <c r="G113" s="73"/>
      <c r="H113" s="57"/>
      <c r="I113" s="48">
        <v>25021</v>
      </c>
      <c r="J113" s="48">
        <v>575.79999999999995</v>
      </c>
      <c r="K113" s="51">
        <v>2</v>
      </c>
      <c r="L113" s="50" t="s">
        <v>185</v>
      </c>
      <c r="M113" s="51">
        <v>122</v>
      </c>
      <c r="N113" s="56" t="s">
        <v>340</v>
      </c>
      <c r="O113" s="51" t="s">
        <v>183</v>
      </c>
      <c r="Q113" s="51"/>
      <c r="R113" s="51"/>
    </row>
    <row r="114" spans="4:18" ht="16" customHeight="1">
      <c r="D114" s="44"/>
      <c r="E114" s="45"/>
      <c r="F114" s="46"/>
      <c r="G114" s="73"/>
      <c r="H114" s="57"/>
      <c r="I114" s="48"/>
      <c r="J114" s="48">
        <v>598.29999999999995</v>
      </c>
      <c r="K114" s="51">
        <v>2</v>
      </c>
      <c r="L114" s="50" t="s">
        <v>181</v>
      </c>
      <c r="M114" s="51"/>
      <c r="N114" s="51"/>
      <c r="O114" s="51"/>
      <c r="Q114" s="51"/>
      <c r="R114" s="51"/>
    </row>
    <row r="115" spans="4:18" ht="16" customHeight="1">
      <c r="D115" s="44"/>
      <c r="E115" s="45"/>
      <c r="F115" s="46"/>
      <c r="G115" s="73"/>
      <c r="H115" s="57"/>
      <c r="I115" s="48"/>
      <c r="J115" s="48">
        <v>584.79999999999995</v>
      </c>
      <c r="K115" s="51">
        <v>2</v>
      </c>
      <c r="L115" s="50" t="s">
        <v>191</v>
      </c>
      <c r="M115" s="51"/>
      <c r="N115" s="56"/>
      <c r="O115" s="51"/>
      <c r="Q115" s="51"/>
      <c r="R115" s="51"/>
    </row>
    <row r="116" spans="4:18" ht="16" customHeight="1">
      <c r="D116" s="44"/>
      <c r="E116" s="45">
        <v>3.1806548739179528</v>
      </c>
      <c r="F116" s="46" t="s">
        <v>347</v>
      </c>
      <c r="G116" s="73"/>
      <c r="H116" s="57"/>
      <c r="I116" s="48"/>
      <c r="J116" s="48">
        <v>575.79999999999995</v>
      </c>
      <c r="K116" s="51">
        <v>2</v>
      </c>
      <c r="L116" s="50" t="s">
        <v>185</v>
      </c>
      <c r="M116" s="51">
        <v>324</v>
      </c>
      <c r="N116" s="56" t="s">
        <v>340</v>
      </c>
      <c r="O116" s="51" t="s">
        <v>183</v>
      </c>
      <c r="Q116" s="51"/>
      <c r="R116" s="51"/>
    </row>
    <row r="117" spans="4:18" ht="16" customHeight="1">
      <c r="D117" s="44"/>
      <c r="E117" s="45"/>
      <c r="F117" s="46"/>
      <c r="G117" s="73"/>
      <c r="H117" s="57"/>
      <c r="I117" s="48"/>
      <c r="J117" s="48">
        <v>598.29999999999995</v>
      </c>
      <c r="K117" s="51">
        <v>2</v>
      </c>
      <c r="L117" s="50" t="s">
        <v>181</v>
      </c>
      <c r="M117" s="51"/>
      <c r="N117" s="51"/>
      <c r="O117" s="51"/>
      <c r="Q117" s="51"/>
      <c r="R117" s="51"/>
    </row>
    <row r="118" spans="4:18" ht="16" customHeight="1">
      <c r="D118" s="44"/>
      <c r="E118" s="45"/>
      <c r="F118" s="46"/>
      <c r="G118" s="73"/>
      <c r="H118" s="57"/>
      <c r="I118" s="48"/>
      <c r="J118" s="48">
        <v>484.6</v>
      </c>
      <c r="K118" s="51">
        <v>3</v>
      </c>
      <c r="L118" s="50" t="s">
        <v>186</v>
      </c>
      <c r="M118" s="51"/>
      <c r="N118" s="51"/>
      <c r="O118" s="51"/>
      <c r="Q118" s="51"/>
      <c r="R118" s="51"/>
    </row>
    <row r="119" spans="4:18" ht="16" customHeight="1">
      <c r="D119" s="44"/>
      <c r="E119" s="45"/>
      <c r="F119" s="46"/>
      <c r="G119" s="73"/>
      <c r="H119" s="57"/>
      <c r="I119" s="48"/>
      <c r="J119" s="48">
        <v>918.8</v>
      </c>
      <c r="K119" s="51">
        <v>3</v>
      </c>
      <c r="L119" s="50" t="s">
        <v>184</v>
      </c>
      <c r="M119" s="51"/>
      <c r="N119" s="51"/>
      <c r="O119" s="51"/>
      <c r="Q119" s="51"/>
      <c r="R119" s="51"/>
    </row>
    <row r="120" spans="4:18" ht="16" customHeight="1">
      <c r="D120" s="44"/>
      <c r="E120" s="45"/>
      <c r="F120" s="46"/>
      <c r="G120" s="73"/>
      <c r="H120" s="57"/>
      <c r="I120" s="48"/>
      <c r="J120" s="48">
        <v>634.29999999999995</v>
      </c>
      <c r="K120" s="51">
        <v>2</v>
      </c>
      <c r="L120" s="50" t="s">
        <v>202</v>
      </c>
      <c r="M120" s="51">
        <v>213</v>
      </c>
      <c r="N120" s="56" t="s">
        <v>338</v>
      </c>
      <c r="O120" s="51" t="s">
        <v>183</v>
      </c>
      <c r="Q120" s="51"/>
      <c r="R120" s="51"/>
    </row>
    <row r="121" spans="4:18" ht="16" customHeight="1">
      <c r="D121" s="44"/>
      <c r="E121" s="45"/>
      <c r="F121" s="46"/>
      <c r="G121" s="73"/>
      <c r="H121" s="57"/>
      <c r="I121" s="48"/>
      <c r="J121" s="48">
        <v>584.79999999999995</v>
      </c>
      <c r="K121" s="51">
        <v>2</v>
      </c>
      <c r="L121" s="50" t="s">
        <v>191</v>
      </c>
      <c r="M121" s="51">
        <v>181</v>
      </c>
      <c r="N121" s="56" t="s">
        <v>348</v>
      </c>
      <c r="O121" s="51" t="s">
        <v>183</v>
      </c>
      <c r="Q121" s="51"/>
      <c r="R121" s="51"/>
    </row>
    <row r="122" spans="4:18" ht="16" customHeight="1">
      <c r="D122" s="44">
        <v>16</v>
      </c>
      <c r="E122" s="45">
        <v>6.5855505989791285E-2</v>
      </c>
      <c r="F122" s="46" t="s">
        <v>334</v>
      </c>
      <c r="G122" s="73"/>
      <c r="H122" s="57"/>
      <c r="I122" s="48"/>
      <c r="J122" s="48">
        <v>649.29999999999995</v>
      </c>
      <c r="K122" s="51">
        <v>2</v>
      </c>
      <c r="L122" s="50" t="s">
        <v>172</v>
      </c>
      <c r="M122" s="51">
        <v>70</v>
      </c>
      <c r="N122" s="51" t="s">
        <v>335</v>
      </c>
      <c r="O122" s="51" t="s">
        <v>166</v>
      </c>
      <c r="Q122" s="51"/>
      <c r="R122" s="51"/>
    </row>
    <row r="123" spans="4:18" ht="16" customHeight="1">
      <c r="D123" s="44"/>
      <c r="E123" s="45">
        <v>1.9747537015899859E-3</v>
      </c>
      <c r="F123" s="46" t="s">
        <v>334</v>
      </c>
      <c r="G123" s="73"/>
      <c r="H123" s="57"/>
      <c r="I123" s="48"/>
      <c r="J123" s="48">
        <v>598.29999999999995</v>
      </c>
      <c r="K123" s="51">
        <v>2</v>
      </c>
      <c r="L123" s="50" t="s">
        <v>181</v>
      </c>
      <c r="M123" s="51">
        <v>64</v>
      </c>
      <c r="N123" s="56" t="s">
        <v>340</v>
      </c>
      <c r="O123" s="51" t="s">
        <v>183</v>
      </c>
      <c r="Q123" s="51"/>
      <c r="R123" s="51"/>
    </row>
    <row r="124" spans="4:18" ht="16" customHeight="1">
      <c r="D124" s="44"/>
      <c r="E124" s="45"/>
      <c r="F124" s="46"/>
      <c r="G124" s="73"/>
      <c r="H124" s="57"/>
      <c r="I124" s="48"/>
      <c r="J124" s="48">
        <v>869.4</v>
      </c>
      <c r="K124" s="51">
        <v>2</v>
      </c>
      <c r="L124" s="50" t="s">
        <v>308</v>
      </c>
      <c r="M124" s="56" t="s">
        <v>87</v>
      </c>
      <c r="N124" s="56" t="s">
        <v>349</v>
      </c>
      <c r="O124" s="51" t="s">
        <v>166</v>
      </c>
      <c r="Q124" s="51"/>
      <c r="R124" s="51"/>
    </row>
    <row r="125" spans="4:18" ht="16" customHeight="1">
      <c r="D125" s="44"/>
      <c r="E125" s="45"/>
      <c r="F125" s="46"/>
      <c r="G125" s="73"/>
      <c r="H125" s="57"/>
      <c r="I125" s="48"/>
      <c r="J125" s="48">
        <v>801.4</v>
      </c>
      <c r="K125" s="51">
        <v>2</v>
      </c>
      <c r="L125" s="50" t="s">
        <v>309</v>
      </c>
      <c r="M125" s="56" t="s">
        <v>87</v>
      </c>
      <c r="N125" s="56" t="s">
        <v>350</v>
      </c>
      <c r="O125" s="51" t="s">
        <v>166</v>
      </c>
      <c r="Q125" s="51"/>
      <c r="R125" s="51"/>
    </row>
    <row r="126" spans="4:18" ht="16" customHeight="1">
      <c r="D126" s="44"/>
      <c r="E126" s="45"/>
      <c r="F126" s="46"/>
      <c r="G126" s="73"/>
      <c r="H126" s="57"/>
      <c r="I126" s="48"/>
      <c r="J126" s="48">
        <v>487.3</v>
      </c>
      <c r="K126" s="51">
        <v>2</v>
      </c>
      <c r="L126" s="50" t="s">
        <v>306</v>
      </c>
      <c r="M126" s="56" t="s">
        <v>87</v>
      </c>
      <c r="N126" s="56" t="s">
        <v>351</v>
      </c>
      <c r="O126" s="51" t="s">
        <v>166</v>
      </c>
      <c r="Q126" s="51"/>
      <c r="R126" s="51"/>
    </row>
    <row r="127" spans="4:18" ht="16" customHeight="1">
      <c r="D127" s="51"/>
      <c r="E127" s="45">
        <v>1.2209446744448627</v>
      </c>
      <c r="F127" s="46" t="s">
        <v>352</v>
      </c>
      <c r="G127" s="73"/>
      <c r="H127" s="57"/>
      <c r="I127" s="48"/>
      <c r="J127" s="48">
        <v>649.29999999999995</v>
      </c>
      <c r="K127" s="51">
        <v>2</v>
      </c>
      <c r="L127" s="50" t="s">
        <v>172</v>
      </c>
      <c r="M127" s="51">
        <v>83</v>
      </c>
      <c r="N127" s="51" t="s">
        <v>335</v>
      </c>
      <c r="O127" s="51" t="s">
        <v>166</v>
      </c>
      <c r="Q127" s="51"/>
      <c r="R127" s="51"/>
    </row>
    <row r="128" spans="4:18" ht="16" customHeight="1">
      <c r="D128" s="44"/>
      <c r="E128" s="45"/>
      <c r="F128" s="46"/>
      <c r="G128" s="73"/>
      <c r="H128" s="57"/>
      <c r="I128" s="48"/>
      <c r="J128" s="48">
        <v>736.8</v>
      </c>
      <c r="K128" s="51">
        <v>2</v>
      </c>
      <c r="L128" s="50" t="s">
        <v>216</v>
      </c>
      <c r="M128" s="56" t="s">
        <v>87</v>
      </c>
      <c r="N128" s="51" t="s">
        <v>353</v>
      </c>
      <c r="O128" s="51" t="s">
        <v>166</v>
      </c>
      <c r="Q128" s="51"/>
      <c r="R128" s="51"/>
    </row>
    <row r="129" spans="4:18" ht="16" customHeight="1">
      <c r="D129" s="44"/>
      <c r="E129" s="45">
        <v>6.7830259691381262E-2</v>
      </c>
      <c r="F129" s="46" t="s">
        <v>347</v>
      </c>
      <c r="G129" s="73"/>
      <c r="H129" s="57"/>
      <c r="I129" s="48"/>
      <c r="J129" s="48">
        <v>575.79999999999995</v>
      </c>
      <c r="K129" s="51">
        <v>2</v>
      </c>
      <c r="L129" s="50" t="s">
        <v>185</v>
      </c>
      <c r="M129" s="51">
        <v>213</v>
      </c>
      <c r="N129" s="56" t="s">
        <v>340</v>
      </c>
      <c r="O129" s="51" t="s">
        <v>183</v>
      </c>
      <c r="Q129" s="51"/>
      <c r="R129" s="51"/>
    </row>
    <row r="130" spans="4:18" ht="16" customHeight="1">
      <c r="D130" s="44"/>
      <c r="E130" s="51"/>
      <c r="F130" s="46"/>
      <c r="G130" s="73"/>
      <c r="H130" s="57"/>
      <c r="I130" s="48"/>
      <c r="J130" s="48">
        <v>598.29999999999995</v>
      </c>
      <c r="K130" s="51">
        <v>2</v>
      </c>
      <c r="L130" s="50" t="s">
        <v>181</v>
      </c>
      <c r="M130" s="51"/>
      <c r="N130" s="51"/>
      <c r="O130" s="51"/>
      <c r="Q130" s="51"/>
      <c r="R130" s="51"/>
    </row>
    <row r="131" spans="4:18" ht="16" customHeight="1">
      <c r="D131" s="44"/>
      <c r="E131" s="51"/>
      <c r="F131" s="46"/>
      <c r="G131" s="73"/>
      <c r="H131" s="57"/>
      <c r="I131" s="48"/>
      <c r="J131" s="48">
        <v>634.29999999999995</v>
      </c>
      <c r="K131" s="51">
        <v>2</v>
      </c>
      <c r="L131" s="50" t="s">
        <v>202</v>
      </c>
      <c r="M131" s="51">
        <v>194</v>
      </c>
      <c r="N131" s="56" t="s">
        <v>338</v>
      </c>
      <c r="O131" s="51" t="s">
        <v>183</v>
      </c>
      <c r="Q131" s="51"/>
      <c r="R131" s="51"/>
    </row>
    <row r="132" spans="4:18" ht="16" customHeight="1">
      <c r="D132" s="44"/>
      <c r="E132" s="51"/>
      <c r="F132" s="46"/>
      <c r="G132" s="73"/>
      <c r="H132" s="57"/>
      <c r="I132" s="48"/>
      <c r="J132" s="48">
        <v>584.79999999999995</v>
      </c>
      <c r="K132" s="51">
        <v>2</v>
      </c>
      <c r="L132" s="50" t="s">
        <v>191</v>
      </c>
      <c r="M132" s="51">
        <v>165</v>
      </c>
      <c r="N132" s="56" t="s">
        <v>348</v>
      </c>
      <c r="O132" s="51" t="s">
        <v>183</v>
      </c>
      <c r="Q132" s="51"/>
      <c r="R132" s="51"/>
    </row>
    <row r="133" spans="4:18" ht="16" customHeight="1">
      <c r="D133" s="44">
        <v>17</v>
      </c>
      <c r="E133" s="45">
        <v>0.26600000000000001</v>
      </c>
      <c r="F133" s="46" t="s">
        <v>354</v>
      </c>
      <c r="G133" s="73"/>
      <c r="H133" s="57"/>
      <c r="I133" s="48"/>
      <c r="J133" s="48">
        <v>546.79999999999995</v>
      </c>
      <c r="K133" s="51">
        <v>2</v>
      </c>
      <c r="L133" s="50" t="s">
        <v>310</v>
      </c>
      <c r="M133" s="51">
        <v>107</v>
      </c>
      <c r="N133" s="51" t="s">
        <v>355</v>
      </c>
      <c r="O133" s="51" t="s">
        <v>233</v>
      </c>
      <c r="Q133" s="51"/>
      <c r="R133" s="51"/>
    </row>
    <row r="134" spans="4:18" ht="16" customHeight="1">
      <c r="D134" s="44"/>
      <c r="E134" s="51"/>
      <c r="F134" s="46"/>
      <c r="G134" s="73"/>
      <c r="H134" s="57"/>
      <c r="I134" s="48"/>
      <c r="J134" s="48">
        <v>567.79999999999995</v>
      </c>
      <c r="K134" s="51">
        <v>2</v>
      </c>
      <c r="L134" s="50" t="s">
        <v>234</v>
      </c>
      <c r="M134" s="51"/>
      <c r="N134" s="51"/>
      <c r="O134" s="51"/>
      <c r="Q134" s="51"/>
      <c r="R134" s="51"/>
    </row>
    <row r="135" spans="4:18" ht="16" customHeight="1">
      <c r="D135" s="44"/>
      <c r="E135" s="51"/>
      <c r="F135" s="46"/>
      <c r="G135" s="73"/>
      <c r="H135" s="57"/>
      <c r="I135" s="48"/>
      <c r="J135" s="48">
        <v>678.4</v>
      </c>
      <c r="K135" s="51">
        <v>2</v>
      </c>
      <c r="L135" s="50" t="s">
        <v>235</v>
      </c>
      <c r="M135" s="51"/>
      <c r="N135" s="51"/>
      <c r="O135" s="51"/>
      <c r="Q135" s="51"/>
      <c r="R135" s="51"/>
    </row>
    <row r="136" spans="4:18" ht="16" customHeight="1">
      <c r="D136" s="44"/>
      <c r="E136" s="45">
        <v>0.39900000000000008</v>
      </c>
      <c r="F136" s="46" t="s">
        <v>356</v>
      </c>
      <c r="G136" s="73"/>
      <c r="H136" s="57"/>
      <c r="I136" s="48"/>
      <c r="J136" s="48">
        <v>554.79999999999995</v>
      </c>
      <c r="K136" s="51">
        <v>2</v>
      </c>
      <c r="L136" s="50" t="s">
        <v>231</v>
      </c>
      <c r="M136" s="51">
        <v>224</v>
      </c>
      <c r="N136" s="51" t="s">
        <v>355</v>
      </c>
      <c r="O136" s="51" t="s">
        <v>233</v>
      </c>
      <c r="Q136" s="51"/>
      <c r="R136" s="51"/>
    </row>
    <row r="137" spans="4:18" ht="16" customHeight="1">
      <c r="D137" s="44"/>
      <c r="E137" s="51"/>
      <c r="F137" s="46"/>
      <c r="G137" s="73"/>
      <c r="H137" s="57"/>
      <c r="I137" s="48"/>
      <c r="J137" s="48">
        <v>567.79999999999995</v>
      </c>
      <c r="K137" s="51">
        <v>2</v>
      </c>
      <c r="L137" s="50" t="s">
        <v>234</v>
      </c>
      <c r="M137" s="51"/>
      <c r="N137" s="51"/>
      <c r="O137" s="51"/>
      <c r="Q137" s="51"/>
      <c r="R137" s="51"/>
    </row>
    <row r="138" spans="4:18" ht="16" customHeight="1">
      <c r="D138" s="44"/>
      <c r="E138" s="51"/>
      <c r="F138" s="46"/>
      <c r="G138" s="73"/>
      <c r="H138" s="57"/>
      <c r="I138" s="48"/>
      <c r="J138" s="48">
        <v>678.4</v>
      </c>
      <c r="K138" s="51">
        <v>2</v>
      </c>
      <c r="L138" s="50" t="s">
        <v>235</v>
      </c>
      <c r="M138" s="51"/>
      <c r="N138" s="51"/>
      <c r="O138" s="51"/>
      <c r="Q138" s="51"/>
      <c r="R138" s="51"/>
    </row>
    <row r="139" spans="4:18" ht="16" customHeight="1">
      <c r="D139" s="44"/>
      <c r="E139" s="51"/>
      <c r="F139" s="46"/>
      <c r="G139" s="73"/>
      <c r="H139" s="57"/>
      <c r="I139" s="48"/>
      <c r="J139" s="48">
        <v>472.3</v>
      </c>
      <c r="K139" s="51">
        <v>2</v>
      </c>
      <c r="L139" s="50" t="s">
        <v>311</v>
      </c>
      <c r="M139" s="51">
        <v>150</v>
      </c>
      <c r="N139" s="51" t="s">
        <v>357</v>
      </c>
      <c r="O139" s="51" t="s">
        <v>233</v>
      </c>
      <c r="Q139" s="51"/>
      <c r="R139" s="51"/>
    </row>
    <row r="140" spans="4:18" ht="16" customHeight="1">
      <c r="D140" s="44"/>
      <c r="E140" s="59">
        <v>0.14936656226374301</v>
      </c>
      <c r="F140" s="46" t="s">
        <v>358</v>
      </c>
      <c r="G140" s="73"/>
      <c r="H140" s="57"/>
      <c r="I140" s="48"/>
      <c r="J140" s="48">
        <v>618.29999999999995</v>
      </c>
      <c r="K140" s="51">
        <v>2</v>
      </c>
      <c r="L140" s="50" t="s">
        <v>243</v>
      </c>
      <c r="M140" s="51">
        <v>69</v>
      </c>
      <c r="N140" s="51" t="s">
        <v>359</v>
      </c>
      <c r="O140" s="51" t="s">
        <v>166</v>
      </c>
      <c r="Q140" s="51"/>
      <c r="R140" s="51"/>
    </row>
    <row r="141" spans="4:18" ht="16" customHeight="1">
      <c r="D141" s="44"/>
      <c r="E141" s="51"/>
      <c r="F141" s="46"/>
      <c r="G141" s="73"/>
      <c r="H141" s="57"/>
      <c r="I141" s="48"/>
      <c r="J141" s="48">
        <v>649.29999999999995</v>
      </c>
      <c r="K141" s="51">
        <v>2</v>
      </c>
      <c r="L141" s="50" t="s">
        <v>312</v>
      </c>
      <c r="M141" s="56" t="s">
        <v>87</v>
      </c>
      <c r="N141" s="51" t="s">
        <v>360</v>
      </c>
      <c r="O141" s="51" t="s">
        <v>166</v>
      </c>
      <c r="Q141" s="51"/>
      <c r="R141" s="51"/>
    </row>
    <row r="142" spans="4:18" ht="16" customHeight="1">
      <c r="D142" s="44"/>
      <c r="E142" s="59">
        <v>0.11563343773625662</v>
      </c>
      <c r="F142" s="46" t="s">
        <v>358</v>
      </c>
      <c r="G142" s="73"/>
      <c r="H142" s="57"/>
      <c r="I142" s="48"/>
      <c r="J142" s="48">
        <v>419.3</v>
      </c>
      <c r="K142" s="51">
        <v>3</v>
      </c>
      <c r="L142" s="50" t="s">
        <v>313</v>
      </c>
      <c r="M142" s="56" t="s">
        <v>87</v>
      </c>
      <c r="N142" s="51" t="s">
        <v>361</v>
      </c>
      <c r="O142" s="51" t="s">
        <v>314</v>
      </c>
      <c r="Q142" s="51"/>
      <c r="R142" s="51"/>
    </row>
    <row r="143" spans="4:18" ht="16" customHeight="1">
      <c r="D143" s="44">
        <v>18</v>
      </c>
      <c r="E143" s="59">
        <v>0.21680867894095898</v>
      </c>
      <c r="F143" s="46" t="s">
        <v>331</v>
      </c>
      <c r="G143" s="73"/>
      <c r="H143" s="57"/>
      <c r="I143" s="48"/>
      <c r="J143" s="48">
        <v>509.3</v>
      </c>
      <c r="K143" s="51">
        <v>2</v>
      </c>
      <c r="L143" s="50" t="s">
        <v>226</v>
      </c>
      <c r="M143" s="51">
        <v>266</v>
      </c>
      <c r="N143" s="51" t="s">
        <v>362</v>
      </c>
      <c r="O143" s="51" t="s">
        <v>228</v>
      </c>
      <c r="Q143" s="51"/>
      <c r="R143" s="51"/>
    </row>
    <row r="144" spans="4:18" ht="16" customHeight="1">
      <c r="D144" s="44"/>
      <c r="E144" s="51"/>
      <c r="F144" s="46"/>
      <c r="G144" s="73"/>
      <c r="H144" s="57"/>
      <c r="I144" s="48"/>
      <c r="J144" s="48">
        <v>600.9</v>
      </c>
      <c r="K144" s="51">
        <v>2</v>
      </c>
      <c r="L144" s="50" t="s">
        <v>239</v>
      </c>
      <c r="M144" s="51"/>
      <c r="N144" s="51"/>
      <c r="O144" s="51"/>
      <c r="Q144" s="51"/>
      <c r="R144" s="51"/>
    </row>
    <row r="145" spans="4:18" ht="16" customHeight="1">
      <c r="D145" s="44"/>
      <c r="E145" s="51"/>
      <c r="F145" s="46"/>
      <c r="G145" s="73"/>
      <c r="H145" s="57"/>
      <c r="I145" s="48"/>
      <c r="J145" s="48">
        <v>448.9</v>
      </c>
      <c r="K145" s="51">
        <v>3</v>
      </c>
      <c r="L145" s="50" t="s">
        <v>315</v>
      </c>
      <c r="M145" s="51"/>
      <c r="N145" s="51"/>
      <c r="O145" s="51"/>
      <c r="Q145" s="51"/>
      <c r="R145" s="51"/>
    </row>
    <row r="146" spans="4:18" ht="16" customHeight="1">
      <c r="D146" s="44"/>
      <c r="E146" s="51"/>
      <c r="F146" s="46"/>
      <c r="G146" s="73"/>
      <c r="H146" s="57"/>
      <c r="I146" s="48"/>
      <c r="J146" s="48">
        <v>565.79999999999995</v>
      </c>
      <c r="K146" s="51">
        <v>2</v>
      </c>
      <c r="L146" s="50" t="s">
        <v>250</v>
      </c>
      <c r="M146" s="51">
        <v>131</v>
      </c>
      <c r="N146" s="51" t="s">
        <v>363</v>
      </c>
      <c r="O146" s="51" t="s">
        <v>228</v>
      </c>
      <c r="Q146" s="51"/>
      <c r="R146" s="51"/>
    </row>
    <row r="147" spans="4:18" ht="16" customHeight="1">
      <c r="D147" s="44"/>
      <c r="E147" s="59">
        <v>6.8413210590410369E-3</v>
      </c>
      <c r="F147" s="46" t="s">
        <v>331</v>
      </c>
      <c r="G147" s="73"/>
      <c r="H147" s="57"/>
      <c r="I147" s="48"/>
      <c r="J147" s="48">
        <v>618.29999999999995</v>
      </c>
      <c r="K147" s="51">
        <v>2</v>
      </c>
      <c r="L147" s="50" t="s">
        <v>243</v>
      </c>
      <c r="M147" s="51">
        <v>63</v>
      </c>
      <c r="N147" s="51" t="s">
        <v>359</v>
      </c>
      <c r="O147" s="51" t="s">
        <v>166</v>
      </c>
      <c r="Q147" s="51"/>
      <c r="R147" s="51"/>
    </row>
    <row r="148" spans="4:18" ht="16" customHeight="1">
      <c r="D148" s="44"/>
      <c r="E148" s="45">
        <v>0.1091</v>
      </c>
      <c r="F148" s="46" t="s">
        <v>364</v>
      </c>
      <c r="G148" s="73"/>
      <c r="H148" s="57"/>
      <c r="I148" s="48"/>
      <c r="J148" s="48">
        <v>509.3</v>
      </c>
      <c r="K148" s="51">
        <v>2</v>
      </c>
      <c r="L148" s="50" t="s">
        <v>226</v>
      </c>
      <c r="M148" s="51">
        <v>266</v>
      </c>
      <c r="N148" s="51" t="s">
        <v>362</v>
      </c>
      <c r="O148" s="51" t="s">
        <v>228</v>
      </c>
      <c r="Q148" s="51"/>
      <c r="R148" s="51"/>
    </row>
    <row r="149" spans="4:18" ht="16" customHeight="1">
      <c r="D149" s="44"/>
      <c r="E149" s="51"/>
      <c r="F149" s="46"/>
      <c r="G149" s="73"/>
      <c r="H149" s="51"/>
      <c r="I149" s="48"/>
      <c r="J149" s="48">
        <v>600.9</v>
      </c>
      <c r="K149" s="51">
        <v>2</v>
      </c>
      <c r="L149" s="50" t="s">
        <v>239</v>
      </c>
      <c r="M149" s="51"/>
      <c r="N149" s="51"/>
      <c r="O149" s="51"/>
      <c r="Q149" s="51"/>
      <c r="R149" s="51"/>
    </row>
    <row r="150" spans="4:18" ht="16" customHeight="1">
      <c r="D150" s="44"/>
      <c r="E150" s="51"/>
      <c r="F150" s="46"/>
      <c r="G150" s="73"/>
      <c r="H150" s="51"/>
      <c r="I150" s="48"/>
      <c r="J150" s="48">
        <v>565.79999999999995</v>
      </c>
      <c r="K150" s="51">
        <v>2</v>
      </c>
      <c r="L150" s="50" t="s">
        <v>250</v>
      </c>
      <c r="M150" s="51">
        <v>56</v>
      </c>
      <c r="N150" s="51" t="s">
        <v>363</v>
      </c>
      <c r="O150" s="51" t="s">
        <v>228</v>
      </c>
      <c r="Q150" s="51"/>
      <c r="R150" s="51"/>
    </row>
    <row r="151" spans="4:18" ht="16" customHeight="1">
      <c r="D151" s="44"/>
      <c r="E151" s="45">
        <v>7.01</v>
      </c>
      <c r="F151" s="46" t="s">
        <v>365</v>
      </c>
      <c r="G151" s="73"/>
      <c r="H151" s="57"/>
      <c r="I151" s="48"/>
      <c r="J151" s="48">
        <v>509.3</v>
      </c>
      <c r="K151" s="51">
        <v>2</v>
      </c>
      <c r="L151" s="50" t="s">
        <v>226</v>
      </c>
      <c r="M151" s="51">
        <v>550</v>
      </c>
      <c r="N151" s="51" t="s">
        <v>362</v>
      </c>
      <c r="O151" s="51" t="s">
        <v>228</v>
      </c>
      <c r="Q151" s="51"/>
      <c r="R151" s="51"/>
    </row>
    <row r="152" spans="4:18" ht="16" customHeight="1">
      <c r="D152" s="44"/>
      <c r="E152" s="51"/>
      <c r="F152" s="46"/>
      <c r="G152" s="73"/>
      <c r="H152" s="57"/>
      <c r="I152" s="48"/>
      <c r="J152" s="48">
        <v>600.9</v>
      </c>
      <c r="K152" s="51">
        <v>2</v>
      </c>
      <c r="L152" s="50" t="s">
        <v>239</v>
      </c>
      <c r="M152" s="51"/>
      <c r="N152" s="51"/>
      <c r="O152" s="51"/>
      <c r="Q152" s="51"/>
      <c r="R152" s="51"/>
    </row>
    <row r="153" spans="4:18" ht="16" customHeight="1">
      <c r="D153" s="44"/>
      <c r="E153" s="51"/>
      <c r="F153" s="46"/>
      <c r="G153" s="73"/>
      <c r="H153" s="57"/>
      <c r="I153" s="48"/>
      <c r="J153" s="48">
        <v>448.9</v>
      </c>
      <c r="K153" s="51">
        <v>3</v>
      </c>
      <c r="L153" s="50" t="s">
        <v>315</v>
      </c>
      <c r="M153" s="51"/>
      <c r="N153" s="51"/>
      <c r="O153" s="51"/>
      <c r="Q153" s="51"/>
      <c r="R153" s="51"/>
    </row>
    <row r="154" spans="4:18" ht="16" customHeight="1">
      <c r="D154" s="44"/>
      <c r="E154" s="51"/>
      <c r="F154" s="46"/>
      <c r="G154" s="73"/>
      <c r="H154" s="57"/>
      <c r="I154" s="48"/>
      <c r="J154" s="48">
        <v>664.9</v>
      </c>
      <c r="K154" s="51">
        <v>2</v>
      </c>
      <c r="L154" s="50" t="s">
        <v>246</v>
      </c>
      <c r="M154" s="51"/>
      <c r="N154" s="51"/>
      <c r="O154" s="51"/>
      <c r="Q154" s="51"/>
      <c r="R154" s="51"/>
    </row>
    <row r="155" spans="4:18" ht="16" customHeight="1">
      <c r="D155" s="44"/>
      <c r="E155" s="51"/>
      <c r="F155" s="46"/>
      <c r="G155" s="73"/>
      <c r="H155" s="57"/>
      <c r="I155" s="48"/>
      <c r="J155" s="48">
        <v>670.8</v>
      </c>
      <c r="K155" s="51">
        <v>2</v>
      </c>
      <c r="L155" s="50" t="s">
        <v>248</v>
      </c>
      <c r="M155" s="51"/>
      <c r="N155" s="51"/>
      <c r="O155" s="51"/>
      <c r="Q155" s="51"/>
      <c r="R155" s="51"/>
    </row>
    <row r="156" spans="4:18" ht="16" customHeight="1">
      <c r="D156" s="44"/>
      <c r="E156" s="51"/>
      <c r="F156" s="46"/>
      <c r="G156" s="73"/>
      <c r="H156" s="57"/>
      <c r="I156" s="48"/>
      <c r="J156" s="48">
        <v>449.3</v>
      </c>
      <c r="K156" s="51">
        <v>3</v>
      </c>
      <c r="L156" s="50" t="s">
        <v>315</v>
      </c>
      <c r="M156" s="51"/>
      <c r="N156" s="51"/>
      <c r="O156" s="51"/>
      <c r="Q156" s="51"/>
      <c r="R156" s="51"/>
    </row>
    <row r="157" spans="4:18" ht="16" customHeight="1">
      <c r="D157" s="44"/>
      <c r="E157" s="51"/>
      <c r="F157" s="46"/>
      <c r="G157" s="73"/>
      <c r="H157" s="57"/>
      <c r="I157" s="48"/>
      <c r="J157" s="48">
        <v>745.8</v>
      </c>
      <c r="K157" s="51">
        <v>3</v>
      </c>
      <c r="L157" s="50" t="s">
        <v>249</v>
      </c>
      <c r="M157" s="51"/>
      <c r="N157" s="51"/>
      <c r="O157" s="51"/>
      <c r="Q157" s="51"/>
      <c r="R157" s="51"/>
    </row>
    <row r="158" spans="4:18" ht="16" customHeight="1">
      <c r="D158" s="44">
        <v>19</v>
      </c>
      <c r="E158" s="45">
        <v>0.58199999999999996</v>
      </c>
      <c r="F158" s="46" t="s">
        <v>366</v>
      </c>
      <c r="G158" s="73"/>
      <c r="H158" s="57"/>
      <c r="I158" s="48"/>
      <c r="J158" s="48">
        <v>509.3</v>
      </c>
      <c r="K158" s="51">
        <v>2</v>
      </c>
      <c r="L158" s="50" t="s">
        <v>226</v>
      </c>
      <c r="M158" s="51">
        <v>103</v>
      </c>
      <c r="N158" s="51" t="s">
        <v>362</v>
      </c>
      <c r="O158" s="51" t="s">
        <v>228</v>
      </c>
      <c r="Q158" s="51"/>
      <c r="R158" s="51"/>
    </row>
    <row r="159" spans="4:18" ht="16" customHeight="1">
      <c r="D159" s="44"/>
      <c r="E159" s="51"/>
      <c r="F159" s="46"/>
      <c r="G159" s="73"/>
      <c r="H159" s="57"/>
      <c r="I159" s="48"/>
      <c r="J159" s="48">
        <v>670.3</v>
      </c>
      <c r="K159" s="51">
        <v>2</v>
      </c>
      <c r="L159" s="50" t="s">
        <v>248</v>
      </c>
      <c r="M159" s="51"/>
      <c r="N159" s="51"/>
      <c r="O159" s="51"/>
      <c r="Q159" s="51"/>
      <c r="R159" s="51"/>
    </row>
    <row r="160" spans="4:18" ht="16" customHeight="1">
      <c r="D160" s="44">
        <v>20</v>
      </c>
      <c r="E160" s="45">
        <v>0.2412</v>
      </c>
      <c r="F160" s="46" t="s">
        <v>343</v>
      </c>
      <c r="G160" s="73"/>
      <c r="H160" s="57"/>
      <c r="I160" s="48"/>
      <c r="J160" s="48">
        <v>821.4</v>
      </c>
      <c r="K160" s="51">
        <v>2</v>
      </c>
      <c r="L160" s="50" t="s">
        <v>316</v>
      </c>
      <c r="M160" s="51">
        <v>190</v>
      </c>
      <c r="N160" s="51" t="s">
        <v>367</v>
      </c>
      <c r="O160" s="51" t="s">
        <v>166</v>
      </c>
      <c r="Q160" s="51"/>
      <c r="R160" s="51"/>
    </row>
    <row r="161" spans="4:18" ht="16" customHeight="1">
      <c r="D161" s="44"/>
      <c r="E161" s="51"/>
      <c r="F161" s="46"/>
      <c r="G161" s="73"/>
      <c r="H161" s="57"/>
      <c r="I161" s="48"/>
      <c r="J161" s="48">
        <v>924.4</v>
      </c>
      <c r="K161" s="51">
        <v>3</v>
      </c>
      <c r="L161" s="50" t="s">
        <v>317</v>
      </c>
      <c r="M161" s="51"/>
      <c r="N161" s="51"/>
      <c r="O161" s="51"/>
      <c r="Q161" s="51"/>
      <c r="R161" s="51"/>
    </row>
    <row r="162" spans="4:18" ht="16" customHeight="1">
      <c r="D162" s="44"/>
      <c r="E162" s="51"/>
      <c r="F162" s="46"/>
      <c r="G162" s="73"/>
      <c r="H162" s="57"/>
      <c r="I162" s="48"/>
      <c r="J162" s="48">
        <v>652</v>
      </c>
      <c r="K162" s="51">
        <v>3</v>
      </c>
      <c r="L162" s="50" t="s">
        <v>318</v>
      </c>
      <c r="M162" s="51">
        <v>64</v>
      </c>
      <c r="N162" s="51" t="s">
        <v>368</v>
      </c>
      <c r="O162" s="51" t="s">
        <v>166</v>
      </c>
      <c r="Q162" s="51"/>
      <c r="R162" s="51"/>
    </row>
    <row r="163" spans="4:18" ht="16" customHeight="1">
      <c r="D163" s="44"/>
      <c r="E163" s="45">
        <v>0.16080000000000003</v>
      </c>
      <c r="F163" s="46" t="s">
        <v>369</v>
      </c>
      <c r="G163" s="73"/>
      <c r="H163" s="57"/>
      <c r="I163" s="48"/>
      <c r="J163" s="48">
        <v>618.29999999999995</v>
      </c>
      <c r="K163" s="51">
        <v>2</v>
      </c>
      <c r="L163" s="50" t="s">
        <v>243</v>
      </c>
      <c r="M163" s="51">
        <v>56</v>
      </c>
      <c r="N163" s="51" t="s">
        <v>359</v>
      </c>
      <c r="O163" s="51" t="s">
        <v>166</v>
      </c>
      <c r="Q163" s="51"/>
      <c r="R163" s="51"/>
    </row>
    <row r="164" spans="4:18" ht="16" customHeight="1">
      <c r="E164" s="216">
        <f>SUM(E11:E163)</f>
        <v>99.999750000000006</v>
      </c>
    </row>
  </sheetData>
  <mergeCells count="4">
    <mergeCell ref="H7:O7"/>
    <mergeCell ref="Q7:U7"/>
    <mergeCell ref="Q8:R8"/>
    <mergeCell ref="W7:AB7"/>
  </mergeCells>
  <hyperlinks>
    <hyperlink ref="B16" location="'W. aegyptia (Sinai)'!A1" display="Table S1" xr:uid="{1743FEC6-DBD5-6F40-8A2C-9CDDAD6D1C0A}"/>
    <hyperlink ref="B17" location="'W. aegyptia (Riyadh)'!A1" display="Table S2" xr:uid="{0811F60E-5A08-5D43-91C1-059174501EDE}"/>
    <hyperlink ref="B18" location="'W. morgani'!A1" display="Table S3" xr:uid="{8666D6DE-5553-A045-9140-F684C87EF9BB}"/>
    <hyperlink ref="B19" location="'Top-Down MS IDs'!A1" display="Table S4" xr:uid="{6C5DFB5A-C5A0-0D45-9B2A-11CC33296D16}"/>
    <hyperlink ref="B15" location="'Transcriptomic database'!A1" display="Table S5" xr:uid="{A357C415-D95F-7948-9E3D-3C003B9709FD}"/>
    <hyperlink ref="B20" location="'W. aegyptia (Sinai) ICP-MS'!A1" display="Table S6" xr:uid="{91F7DF3B-8498-3346-BF44-F0830089BAB8}"/>
    <hyperlink ref="B21" location="'W. aegyptia (Riyadh) ICP-MS'!A1" display="Table S7" xr:uid="{202271E2-4975-4C4A-A35C-8E54CF9D1800}"/>
    <hyperlink ref="B22" location="'W. morgani ICP-MS'!A1" display="Table S8" xr:uid="{F9C18777-74C7-AC44-89F4-AB714B97C1DF}"/>
    <hyperlink ref="B14" location="INDEX!A1" display="INDEX" xr:uid="{0DCF951E-C8F7-6E4F-AAFC-44949620D85A}"/>
  </hyperlinks>
  <pageMargins left="0.7" right="0.7" top="0.75" bottom="0.75" header="0.3" footer="0.3"/>
  <pageSetup paperSize="9" scale="57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5FBAC-0BD7-EA47-9EF0-53A304569121}">
  <sheetPr>
    <pageSetUpPr fitToPage="1"/>
  </sheetPr>
  <dimension ref="B2:AC263"/>
  <sheetViews>
    <sheetView topLeftCell="H116" workbookViewId="0">
      <selection activeCell="U75" sqref="U75"/>
    </sheetView>
  </sheetViews>
  <sheetFormatPr baseColWidth="10" defaultColWidth="11.5" defaultRowHeight="16" customHeight="1"/>
  <cols>
    <col min="1" max="3" width="11.5" style="51"/>
    <col min="4" max="4" width="13.5" style="44" customWidth="1"/>
    <col min="5" max="5" width="9.1640625" style="51" customWidth="1"/>
    <col min="6" max="6" width="19.5" style="46" customWidth="1"/>
    <col min="7" max="7" width="1.5" style="46" customWidth="1"/>
    <col min="8" max="8" width="21.5" style="49" customWidth="1"/>
    <col min="9" max="9" width="26.33203125" style="48" customWidth="1"/>
    <col min="10" max="10" width="7.6640625" style="48" customWidth="1"/>
    <col min="11" max="11" width="5.33203125" style="51" customWidth="1"/>
    <col min="12" max="12" width="34.1640625" style="50" customWidth="1"/>
    <col min="13" max="13" width="7.5" style="51" customWidth="1"/>
    <col min="14" max="14" width="23.5" style="51" customWidth="1"/>
    <col min="15" max="15" width="19.83203125" style="51" customWidth="1"/>
    <col min="16" max="16" width="1.6640625" style="51" customWidth="1"/>
    <col min="17" max="18" width="11.6640625" style="51" bestFit="1" customWidth="1"/>
    <col min="19" max="19" width="12.1640625" style="51" bestFit="1" customWidth="1"/>
    <col min="20" max="20" width="11.5" style="51"/>
    <col min="21" max="21" width="24.5" style="51" customWidth="1"/>
    <col min="22" max="22" width="1.5" style="51" customWidth="1"/>
    <col min="23" max="16384" width="11.5" style="51"/>
  </cols>
  <sheetData>
    <row r="2" spans="2:29" s="2" customFormat="1" ht="16" customHeight="1">
      <c r="D2" s="1"/>
      <c r="H2" s="5"/>
      <c r="J2" s="3"/>
      <c r="K2" s="3"/>
      <c r="L2" s="3"/>
      <c r="N2" s="4"/>
      <c r="Q2" s="5"/>
      <c r="R2" s="5"/>
      <c r="S2" s="5"/>
      <c r="V2" s="14"/>
      <c r="Y2" s="5"/>
    </row>
    <row r="3" spans="2:29" s="34" customFormat="1" ht="16" customHeight="1">
      <c r="D3" s="33" t="s">
        <v>961</v>
      </c>
      <c r="H3" s="37"/>
      <c r="J3" s="35"/>
      <c r="K3" s="35"/>
      <c r="L3" s="35"/>
      <c r="N3" s="36"/>
      <c r="Q3" s="37"/>
      <c r="R3" s="37"/>
      <c r="S3" s="37"/>
      <c r="V3" s="38"/>
      <c r="Y3" s="37"/>
    </row>
    <row r="4" spans="2:29" s="34" customFormat="1" ht="16" customHeight="1">
      <c r="D4" s="33"/>
      <c r="E4" s="251" t="s">
        <v>983</v>
      </c>
      <c r="H4" s="37"/>
      <c r="J4" s="35"/>
      <c r="K4" s="35"/>
      <c r="L4" s="35"/>
      <c r="N4" s="36"/>
      <c r="Q4" s="37"/>
      <c r="R4" s="37"/>
      <c r="S4" s="37"/>
      <c r="V4" s="38"/>
      <c r="Y4" s="37"/>
    </row>
    <row r="5" spans="2:29" s="2" customFormat="1" ht="16" customHeight="1">
      <c r="D5" s="1"/>
      <c r="H5" s="5"/>
      <c r="J5" s="3"/>
      <c r="K5" s="3"/>
      <c r="L5" s="3"/>
      <c r="N5" s="4"/>
      <c r="Q5" s="5"/>
      <c r="R5" s="5"/>
      <c r="S5" s="5"/>
    </row>
    <row r="6" spans="2:29" s="2" customFormat="1" ht="16" customHeight="1">
      <c r="D6" s="264" t="s">
        <v>491</v>
      </c>
      <c r="E6" s="264"/>
      <c r="F6" s="264"/>
      <c r="G6" s="42"/>
      <c r="H6" s="259" t="s">
        <v>0</v>
      </c>
      <c r="I6" s="259"/>
      <c r="J6" s="259"/>
      <c r="K6" s="259"/>
      <c r="L6" s="259"/>
      <c r="M6" s="259"/>
      <c r="N6" s="259"/>
      <c r="O6" s="259"/>
      <c r="P6" s="259"/>
      <c r="Q6" s="260" t="s">
        <v>1</v>
      </c>
      <c r="R6" s="260"/>
      <c r="S6" s="260"/>
      <c r="T6" s="260"/>
      <c r="U6" s="260"/>
      <c r="V6" s="7"/>
      <c r="W6" s="62" t="s">
        <v>2</v>
      </c>
      <c r="X6" s="62"/>
      <c r="Y6" s="62"/>
      <c r="Z6" s="62"/>
      <c r="AA6" s="62"/>
      <c r="AB6" s="62"/>
    </row>
    <row r="7" spans="2:29" s="2" customFormat="1" ht="16" customHeight="1">
      <c r="D7" s="1"/>
      <c r="H7" s="5"/>
      <c r="J7" s="8"/>
      <c r="K7" s="8"/>
      <c r="L7" s="8"/>
      <c r="M7" s="8"/>
      <c r="N7" s="8"/>
      <c r="O7" s="8"/>
      <c r="P7" s="8"/>
      <c r="Q7" s="263" t="s">
        <v>3</v>
      </c>
      <c r="R7" s="263"/>
      <c r="S7" s="9"/>
      <c r="T7" s="10" t="s">
        <v>994</v>
      </c>
      <c r="U7" s="7" t="s">
        <v>988</v>
      </c>
      <c r="V7" s="7"/>
      <c r="W7" s="10"/>
      <c r="X7" s="10"/>
      <c r="Y7" s="10"/>
      <c r="Z7" s="10"/>
    </row>
    <row r="8" spans="2:29" s="2" customFormat="1" ht="16" customHeight="1">
      <c r="D8" s="39" t="s">
        <v>4</v>
      </c>
      <c r="E8" s="207" t="s">
        <v>5</v>
      </c>
      <c r="F8" s="41" t="s">
        <v>6</v>
      </c>
      <c r="G8" s="7"/>
      <c r="H8" s="40" t="s">
        <v>7</v>
      </c>
      <c r="I8" s="40" t="s">
        <v>8</v>
      </c>
      <c r="J8" s="40" t="s">
        <v>9</v>
      </c>
      <c r="K8" s="41" t="s">
        <v>10</v>
      </c>
      <c r="L8" s="41" t="s">
        <v>11</v>
      </c>
      <c r="M8" s="41" t="s">
        <v>12</v>
      </c>
      <c r="N8" s="41" t="s">
        <v>13</v>
      </c>
      <c r="O8" s="41" t="s">
        <v>14</v>
      </c>
      <c r="Q8" s="41" t="s">
        <v>15</v>
      </c>
      <c r="R8" s="41" t="s">
        <v>16</v>
      </c>
      <c r="S8" s="32" t="s">
        <v>17</v>
      </c>
      <c r="T8" s="41" t="s">
        <v>18</v>
      </c>
      <c r="U8" s="252" t="s">
        <v>992</v>
      </c>
      <c r="V8" s="7"/>
      <c r="W8" s="63" t="s">
        <v>19</v>
      </c>
      <c r="X8" s="41"/>
      <c r="Y8" s="41"/>
      <c r="Z8" s="41"/>
      <c r="AA8" s="64"/>
      <c r="AB8" s="64"/>
    </row>
    <row r="9" spans="2:29" s="2" customFormat="1" ht="16" customHeight="1">
      <c r="B9" s="66"/>
      <c r="D9" s="1"/>
      <c r="E9" s="10"/>
      <c r="F9" s="10"/>
      <c r="G9" s="10"/>
      <c r="H9" s="7"/>
      <c r="I9" s="10"/>
      <c r="J9" s="8"/>
      <c r="K9" s="8"/>
      <c r="L9" s="11"/>
      <c r="M9" s="10"/>
      <c r="N9" s="10"/>
      <c r="O9" s="7"/>
      <c r="P9" s="7"/>
      <c r="Q9" s="7"/>
      <c r="R9" s="7"/>
      <c r="S9" s="7"/>
      <c r="T9" s="10"/>
      <c r="U9" s="10"/>
      <c r="V9" s="9"/>
      <c r="W9" s="10"/>
      <c r="X9" s="10"/>
      <c r="Y9" s="7"/>
      <c r="Z9" s="12"/>
      <c r="AA9" s="10"/>
      <c r="AB9" s="10"/>
      <c r="AC9" s="10"/>
    </row>
    <row r="10" spans="2:29" ht="16" customHeight="1">
      <c r="B10" s="224"/>
      <c r="D10" s="44">
        <v>1</v>
      </c>
      <c r="E10" s="45">
        <v>0.68954082991530385</v>
      </c>
      <c r="F10" s="46" t="s">
        <v>423</v>
      </c>
      <c r="H10" s="52">
        <v>6848</v>
      </c>
      <c r="I10" s="47">
        <v>6852</v>
      </c>
      <c r="J10" s="49">
        <v>507.9</v>
      </c>
      <c r="K10" s="46">
        <v>3</v>
      </c>
      <c r="L10" s="50" t="s">
        <v>384</v>
      </c>
      <c r="M10" s="56" t="s">
        <v>87</v>
      </c>
      <c r="N10" s="10" t="s">
        <v>22</v>
      </c>
      <c r="O10" s="2" t="s">
        <v>23</v>
      </c>
      <c r="P10" s="60"/>
      <c r="Q10" s="22">
        <v>6848.07</v>
      </c>
      <c r="R10" s="22">
        <v>6856.14</v>
      </c>
      <c r="S10" s="22">
        <v>6.0084000000000002E-22</v>
      </c>
      <c r="T10" s="22" t="s">
        <v>25</v>
      </c>
      <c r="U10" s="85" t="s">
        <v>564</v>
      </c>
      <c r="V10" s="77"/>
      <c r="W10" s="43" t="s">
        <v>27</v>
      </c>
    </row>
    <row r="11" spans="2:29" ht="16" customHeight="1">
      <c r="B11" s="225" t="s">
        <v>724</v>
      </c>
      <c r="D11" s="44">
        <v>2</v>
      </c>
      <c r="E11" s="45">
        <v>5.3259830607787766</v>
      </c>
      <c r="F11" s="46" t="s">
        <v>424</v>
      </c>
      <c r="I11" s="47"/>
      <c r="J11" s="49">
        <v>507.9</v>
      </c>
      <c r="K11" s="46">
        <v>3</v>
      </c>
      <c r="L11" s="50" t="s">
        <v>384</v>
      </c>
      <c r="M11" s="56" t="s">
        <v>87</v>
      </c>
      <c r="O11" s="2" t="s">
        <v>23</v>
      </c>
      <c r="P11" s="49"/>
      <c r="Q11" s="48"/>
    </row>
    <row r="12" spans="2:29" ht="16" customHeight="1">
      <c r="B12" s="225" t="s">
        <v>725</v>
      </c>
      <c r="E12" s="75">
        <v>21.97</v>
      </c>
      <c r="F12" s="46" t="s">
        <v>423</v>
      </c>
      <c r="H12" s="52">
        <v>6848</v>
      </c>
      <c r="I12" s="47">
        <v>6852</v>
      </c>
      <c r="J12" s="48">
        <v>860.9</v>
      </c>
      <c r="K12" s="51">
        <v>2</v>
      </c>
      <c r="L12" s="50" t="s">
        <v>31</v>
      </c>
      <c r="M12" s="56" t="s">
        <v>87</v>
      </c>
      <c r="N12" s="10" t="s">
        <v>22</v>
      </c>
      <c r="O12" s="2" t="s">
        <v>23</v>
      </c>
      <c r="P12" s="49"/>
      <c r="Q12" s="22">
        <v>6848.07</v>
      </c>
      <c r="R12" s="22">
        <v>6856.14</v>
      </c>
      <c r="S12" s="22">
        <v>6.0084000000000002E-22</v>
      </c>
      <c r="T12" s="22" t="s">
        <v>25</v>
      </c>
      <c r="U12" s="85" t="s">
        <v>564</v>
      </c>
      <c r="V12" s="77"/>
      <c r="W12" s="43" t="s">
        <v>27</v>
      </c>
    </row>
    <row r="13" spans="2:29" ht="16" customHeight="1">
      <c r="B13" s="225" t="s">
        <v>726</v>
      </c>
      <c r="D13" s="44">
        <v>3</v>
      </c>
      <c r="E13" s="45">
        <v>1.9019203110850685E-2</v>
      </c>
      <c r="F13" s="46" t="s">
        <v>424</v>
      </c>
      <c r="J13" s="49">
        <v>507.9</v>
      </c>
      <c r="K13" s="46">
        <v>3</v>
      </c>
      <c r="L13" s="50" t="s">
        <v>384</v>
      </c>
      <c r="M13" s="56" t="s">
        <v>87</v>
      </c>
      <c r="O13" s="2" t="s">
        <v>23</v>
      </c>
      <c r="P13" s="49"/>
      <c r="Q13" s="48"/>
    </row>
    <row r="14" spans="2:29" ht="16" customHeight="1">
      <c r="B14" s="225" t="s">
        <v>727</v>
      </c>
      <c r="D14" s="51"/>
      <c r="E14" s="45">
        <v>0.36136485910616306</v>
      </c>
      <c r="F14" s="46" t="s">
        <v>423</v>
      </c>
      <c r="H14" s="52" t="s">
        <v>409</v>
      </c>
      <c r="I14" s="47" t="s">
        <v>412</v>
      </c>
      <c r="J14" s="49">
        <v>617</v>
      </c>
      <c r="K14" s="46">
        <v>3</v>
      </c>
      <c r="L14" s="50" t="s">
        <v>50</v>
      </c>
      <c r="M14" s="51">
        <v>71</v>
      </c>
      <c r="N14" s="10" t="s">
        <v>22</v>
      </c>
      <c r="O14" s="2" t="s">
        <v>23</v>
      </c>
      <c r="P14" s="49"/>
      <c r="Q14" s="45" t="s">
        <v>411</v>
      </c>
      <c r="R14" s="78">
        <v>6872.102116</v>
      </c>
      <c r="S14" s="79" t="s">
        <v>966</v>
      </c>
      <c r="T14" s="51" t="s">
        <v>25</v>
      </c>
      <c r="W14" s="74" t="s">
        <v>410</v>
      </c>
    </row>
    <row r="15" spans="2:29" ht="16" customHeight="1">
      <c r="B15" s="225" t="s">
        <v>728</v>
      </c>
      <c r="E15" s="45"/>
      <c r="J15" s="48">
        <v>860.9</v>
      </c>
      <c r="K15" s="51">
        <v>2</v>
      </c>
      <c r="L15" s="50" t="s">
        <v>31</v>
      </c>
      <c r="P15" s="49"/>
      <c r="Q15" s="48"/>
    </row>
    <row r="16" spans="2:29" ht="16" customHeight="1">
      <c r="B16" s="225" t="s">
        <v>729</v>
      </c>
      <c r="D16" s="44">
        <v>4</v>
      </c>
      <c r="E16" s="45">
        <v>0.13302833857135246</v>
      </c>
      <c r="F16" s="46" t="s">
        <v>424</v>
      </c>
      <c r="J16" s="49">
        <v>617</v>
      </c>
      <c r="K16" s="46">
        <v>3</v>
      </c>
      <c r="L16" s="50" t="s">
        <v>50</v>
      </c>
      <c r="M16" s="51">
        <v>42</v>
      </c>
      <c r="N16" s="51" t="s">
        <v>425</v>
      </c>
      <c r="O16" s="2" t="s">
        <v>23</v>
      </c>
      <c r="P16" s="49"/>
      <c r="Q16" s="48"/>
    </row>
    <row r="17" spans="2:23" ht="16" customHeight="1">
      <c r="B17" s="225" t="s">
        <v>730</v>
      </c>
      <c r="E17" s="45"/>
      <c r="J17" s="48">
        <v>860.9</v>
      </c>
      <c r="K17" s="51">
        <v>2</v>
      </c>
      <c r="L17" s="50" t="s">
        <v>31</v>
      </c>
      <c r="P17" s="49"/>
      <c r="Q17" s="48"/>
    </row>
    <row r="18" spans="2:23" ht="16" customHeight="1">
      <c r="B18" s="225" t="s">
        <v>731</v>
      </c>
      <c r="E18" s="45"/>
      <c r="H18" s="52" t="s">
        <v>494</v>
      </c>
      <c r="I18" s="47" t="s">
        <v>495</v>
      </c>
      <c r="J18" s="48">
        <v>847.4</v>
      </c>
      <c r="K18" s="51">
        <v>3</v>
      </c>
      <c r="L18" s="50" t="s">
        <v>385</v>
      </c>
      <c r="M18" s="56" t="s">
        <v>87</v>
      </c>
      <c r="N18" s="44" t="s">
        <v>426</v>
      </c>
      <c r="O18" s="2" t="s">
        <v>413</v>
      </c>
      <c r="P18" s="49"/>
      <c r="Q18" s="48" t="s">
        <v>493</v>
      </c>
      <c r="R18" s="51" t="s">
        <v>414</v>
      </c>
      <c r="S18" s="22" t="s">
        <v>966</v>
      </c>
      <c r="T18" s="51" t="s">
        <v>492</v>
      </c>
      <c r="W18" s="50" t="s">
        <v>415</v>
      </c>
    </row>
    <row r="19" spans="2:23" ht="16" customHeight="1">
      <c r="B19" s="225" t="s">
        <v>732</v>
      </c>
      <c r="E19" s="45">
        <v>3.3257084642838115</v>
      </c>
      <c r="F19" s="46" t="s">
        <v>423</v>
      </c>
      <c r="J19" s="48">
        <v>847.4</v>
      </c>
      <c r="K19" s="51">
        <v>3</v>
      </c>
      <c r="L19" s="50" t="s">
        <v>385</v>
      </c>
      <c r="M19" s="56" t="s">
        <v>87</v>
      </c>
      <c r="N19" s="44" t="s">
        <v>426</v>
      </c>
      <c r="O19" s="2" t="s">
        <v>413</v>
      </c>
      <c r="P19" s="49"/>
      <c r="Q19" s="48"/>
    </row>
    <row r="20" spans="2:23" ht="16" customHeight="1">
      <c r="B20" s="224"/>
      <c r="E20" s="45"/>
      <c r="J20" s="49">
        <v>617</v>
      </c>
      <c r="K20" s="46">
        <v>3</v>
      </c>
      <c r="L20" s="50" t="s">
        <v>50</v>
      </c>
      <c r="M20" s="51">
        <v>71</v>
      </c>
      <c r="O20" s="2" t="s">
        <v>413</v>
      </c>
      <c r="P20" s="49"/>
      <c r="Q20" s="48"/>
    </row>
    <row r="21" spans="2:23" ht="16" customHeight="1">
      <c r="E21" s="45"/>
      <c r="J21" s="48">
        <v>860.9</v>
      </c>
      <c r="K21" s="51">
        <v>2</v>
      </c>
      <c r="L21" s="50" t="s">
        <v>31</v>
      </c>
      <c r="P21" s="49"/>
      <c r="Q21" s="48"/>
    </row>
    <row r="22" spans="2:23" ht="16" customHeight="1">
      <c r="E22" s="45">
        <v>0.97554114952325133</v>
      </c>
      <c r="F22" s="46" t="s">
        <v>321</v>
      </c>
      <c r="H22" s="52" t="s">
        <v>496</v>
      </c>
      <c r="I22" s="47" t="s">
        <v>497</v>
      </c>
      <c r="J22" s="48">
        <v>748.1</v>
      </c>
      <c r="K22" s="51">
        <v>4</v>
      </c>
      <c r="L22" s="50" t="s">
        <v>288</v>
      </c>
      <c r="M22" s="51">
        <v>238</v>
      </c>
      <c r="N22" s="44" t="s">
        <v>322</v>
      </c>
      <c r="O22" s="2" t="s">
        <v>48</v>
      </c>
      <c r="P22" s="60"/>
      <c r="Q22" s="22">
        <v>6342.95</v>
      </c>
      <c r="R22" s="22">
        <v>6349</v>
      </c>
      <c r="S22" s="65">
        <v>1.56906E-28</v>
      </c>
      <c r="T22" s="22" t="s">
        <v>41</v>
      </c>
      <c r="U22" s="51" t="s">
        <v>577</v>
      </c>
      <c r="V22" s="77"/>
      <c r="W22" s="4" t="s">
        <v>49</v>
      </c>
    </row>
    <row r="23" spans="2:23" ht="16" customHeight="1">
      <c r="E23" s="51">
        <v>1.03</v>
      </c>
      <c r="J23" s="48">
        <v>470.2</v>
      </c>
      <c r="K23" s="51">
        <v>3</v>
      </c>
      <c r="L23" s="50" t="s">
        <v>56</v>
      </c>
      <c r="O23" s="2" t="s">
        <v>40</v>
      </c>
      <c r="P23" s="49"/>
      <c r="Q23" s="22">
        <v>6662.02</v>
      </c>
      <c r="R23" s="22">
        <v>6668.06</v>
      </c>
      <c r="S23" s="22">
        <v>1.233776E-20</v>
      </c>
      <c r="T23" s="22" t="s">
        <v>41</v>
      </c>
      <c r="U23" s="85" t="s">
        <v>576</v>
      </c>
      <c r="V23" s="18"/>
      <c r="W23" s="4" t="s">
        <v>43</v>
      </c>
    </row>
    <row r="24" spans="2:23" ht="16" customHeight="1">
      <c r="J24" s="48">
        <v>475.5</v>
      </c>
      <c r="K24" s="51">
        <v>3</v>
      </c>
      <c r="L24" s="50" t="s">
        <v>386</v>
      </c>
      <c r="P24" s="49"/>
      <c r="Q24" s="22">
        <v>6775.08</v>
      </c>
      <c r="R24" s="22">
        <v>6781.11</v>
      </c>
      <c r="S24" s="22" t="s">
        <v>966</v>
      </c>
      <c r="T24" s="22" t="s">
        <v>41</v>
      </c>
      <c r="U24" s="85" t="s">
        <v>576</v>
      </c>
      <c r="W24" s="50" t="s">
        <v>58</v>
      </c>
    </row>
    <row r="25" spans="2:23" ht="16" customHeight="1">
      <c r="E25" s="45"/>
      <c r="J25" s="48">
        <v>418.2</v>
      </c>
      <c r="K25" s="51">
        <v>3</v>
      </c>
      <c r="L25" s="50" t="s">
        <v>387</v>
      </c>
      <c r="P25" s="49"/>
      <c r="Q25" s="48"/>
    </row>
    <row r="26" spans="2:23" ht="16" customHeight="1">
      <c r="D26" s="44">
        <v>5</v>
      </c>
      <c r="E26" s="45">
        <v>2.7126990891173489E-2</v>
      </c>
      <c r="F26" s="46" t="s">
        <v>427</v>
      </c>
      <c r="H26" s="48"/>
      <c r="J26" s="51">
        <v>617.79999999999995</v>
      </c>
      <c r="K26" s="51">
        <v>2</v>
      </c>
      <c r="L26" s="50" t="s">
        <v>46</v>
      </c>
      <c r="M26" s="51">
        <v>44</v>
      </c>
      <c r="N26" s="44" t="s">
        <v>428</v>
      </c>
      <c r="O26" s="51" t="s">
        <v>48</v>
      </c>
      <c r="P26" s="48"/>
      <c r="Q26" s="48"/>
    </row>
    <row r="27" spans="2:23" ht="16" customHeight="1">
      <c r="E27" s="45">
        <v>0.54253981782346972</v>
      </c>
      <c r="F27" s="46" t="s">
        <v>424</v>
      </c>
      <c r="H27" s="48"/>
      <c r="J27" s="49">
        <v>617</v>
      </c>
      <c r="K27" s="46">
        <v>3</v>
      </c>
      <c r="L27" s="50" t="s">
        <v>50</v>
      </c>
      <c r="M27" s="51">
        <v>82</v>
      </c>
      <c r="N27" s="51" t="s">
        <v>429</v>
      </c>
      <c r="O27" s="46" t="s">
        <v>33</v>
      </c>
      <c r="P27" s="48"/>
      <c r="Q27" s="48"/>
    </row>
    <row r="28" spans="2:23" ht="16" customHeight="1">
      <c r="E28" s="45"/>
      <c r="J28" s="48">
        <v>860.9</v>
      </c>
      <c r="K28" s="51">
        <v>2</v>
      </c>
      <c r="L28" s="50" t="s">
        <v>31</v>
      </c>
      <c r="P28" s="49"/>
      <c r="Q28" s="48"/>
    </row>
    <row r="29" spans="2:23" ht="16" customHeight="1">
      <c r="E29" s="45">
        <v>1.6004924625792358</v>
      </c>
      <c r="F29" s="46" t="s">
        <v>423</v>
      </c>
      <c r="H29" s="48"/>
      <c r="J29" s="49">
        <v>924.9</v>
      </c>
      <c r="K29" s="46">
        <v>2</v>
      </c>
      <c r="L29" s="50" t="s">
        <v>50</v>
      </c>
      <c r="M29" s="51">
        <v>159</v>
      </c>
      <c r="N29" s="51" t="s">
        <v>429</v>
      </c>
      <c r="O29" s="46" t="s">
        <v>33</v>
      </c>
      <c r="P29" s="48"/>
      <c r="Q29" s="48"/>
    </row>
    <row r="30" spans="2:23" ht="16" customHeight="1">
      <c r="E30" s="45"/>
      <c r="J30" s="48">
        <v>860.9</v>
      </c>
      <c r="K30" s="51">
        <v>2</v>
      </c>
      <c r="L30" s="50" t="s">
        <v>31</v>
      </c>
      <c r="P30" s="49"/>
      <c r="Q30" s="48"/>
    </row>
    <row r="31" spans="2:23" ht="16" customHeight="1">
      <c r="E31" s="45"/>
      <c r="J31" s="48">
        <v>512.6</v>
      </c>
      <c r="K31" s="51">
        <v>3</v>
      </c>
      <c r="L31" s="50" t="s">
        <v>388</v>
      </c>
      <c r="P31" s="49"/>
      <c r="Q31" s="48"/>
    </row>
    <row r="32" spans="2:23" ht="16" customHeight="1">
      <c r="E32" s="45"/>
      <c r="J32" s="48">
        <v>847.4</v>
      </c>
      <c r="K32" s="51">
        <v>3</v>
      </c>
      <c r="L32" s="50" t="s">
        <v>385</v>
      </c>
      <c r="M32" s="56" t="s">
        <v>87</v>
      </c>
      <c r="N32" s="51" t="s">
        <v>430</v>
      </c>
      <c r="O32" s="46" t="s">
        <v>33</v>
      </c>
      <c r="P32" s="49"/>
      <c r="Q32" s="48"/>
    </row>
    <row r="33" spans="4:23" ht="16" customHeight="1">
      <c r="E33" s="45"/>
      <c r="J33" s="48">
        <v>860.1</v>
      </c>
      <c r="K33" s="51">
        <v>3</v>
      </c>
      <c r="L33" s="50" t="s">
        <v>389</v>
      </c>
      <c r="M33" s="56" t="s">
        <v>87</v>
      </c>
      <c r="N33" s="51" t="s">
        <v>431</v>
      </c>
      <c r="O33" s="46" t="s">
        <v>416</v>
      </c>
      <c r="P33" s="49"/>
      <c r="Q33" s="48"/>
    </row>
    <row r="34" spans="4:23" ht="16" customHeight="1">
      <c r="E34" s="45">
        <v>0.54253981782346972</v>
      </c>
      <c r="F34" s="46" t="s">
        <v>321</v>
      </c>
      <c r="H34" s="52">
        <v>6342.9</v>
      </c>
      <c r="I34" s="47">
        <v>6346.8</v>
      </c>
      <c r="J34" s="51">
        <v>617.79999999999995</v>
      </c>
      <c r="K34" s="51">
        <v>2</v>
      </c>
      <c r="L34" s="50" t="s">
        <v>46</v>
      </c>
      <c r="M34" s="51">
        <v>175</v>
      </c>
      <c r="N34" s="44" t="s">
        <v>322</v>
      </c>
      <c r="O34" s="2" t="s">
        <v>48</v>
      </c>
      <c r="P34" s="60"/>
      <c r="Q34" s="22">
        <v>6342.95</v>
      </c>
      <c r="R34" s="22">
        <v>6349</v>
      </c>
      <c r="S34" s="22">
        <v>1.56906E-28</v>
      </c>
      <c r="T34" s="22" t="s">
        <v>41</v>
      </c>
      <c r="U34" s="85" t="s">
        <v>577</v>
      </c>
      <c r="V34" s="77"/>
      <c r="W34" s="4" t="s">
        <v>49</v>
      </c>
    </row>
    <row r="35" spans="4:23" ht="16" customHeight="1">
      <c r="E35" s="45"/>
      <c r="H35" s="48"/>
      <c r="J35" s="48">
        <v>662.8</v>
      </c>
      <c r="K35" s="51">
        <v>2</v>
      </c>
      <c r="L35" s="50" t="s">
        <v>52</v>
      </c>
      <c r="P35" s="48"/>
      <c r="Q35" s="48"/>
    </row>
    <row r="36" spans="4:23" s="46" customFormat="1" ht="16" customHeight="1">
      <c r="D36" s="54"/>
      <c r="E36" s="53"/>
      <c r="H36" s="49"/>
      <c r="I36" s="49"/>
      <c r="J36" s="48">
        <v>660.6</v>
      </c>
      <c r="K36" s="51">
        <v>3</v>
      </c>
      <c r="L36" s="50" t="s">
        <v>390</v>
      </c>
      <c r="M36" s="51"/>
      <c r="N36" s="51"/>
      <c r="O36" s="51"/>
      <c r="P36" s="49"/>
      <c r="Q36" s="49"/>
    </row>
    <row r="37" spans="4:23" ht="16" customHeight="1">
      <c r="E37" s="45"/>
      <c r="J37" s="48">
        <v>748.1</v>
      </c>
      <c r="K37" s="51">
        <v>4</v>
      </c>
      <c r="L37" s="50" t="s">
        <v>288</v>
      </c>
      <c r="M37" s="51">
        <v>131</v>
      </c>
      <c r="N37" s="51" t="s">
        <v>432</v>
      </c>
      <c r="O37" s="51" t="s">
        <v>40</v>
      </c>
      <c r="P37" s="49"/>
      <c r="Q37" s="48"/>
    </row>
    <row r="38" spans="4:23" ht="16" customHeight="1">
      <c r="E38" s="45"/>
      <c r="H38" s="52" t="s">
        <v>500</v>
      </c>
      <c r="I38" s="47" t="s">
        <v>766</v>
      </c>
      <c r="J38" s="48">
        <v>598.79999999999995</v>
      </c>
      <c r="K38" s="51">
        <v>2</v>
      </c>
      <c r="L38" s="50" t="s">
        <v>89</v>
      </c>
      <c r="M38" s="51">
        <v>115</v>
      </c>
      <c r="N38" s="51" t="s">
        <v>434</v>
      </c>
      <c r="O38" s="51" t="s">
        <v>768</v>
      </c>
      <c r="Q38" s="22">
        <v>7329.17</v>
      </c>
      <c r="R38" s="22">
        <v>7339.25</v>
      </c>
      <c r="S38" s="22">
        <v>1.96606E-11</v>
      </c>
      <c r="T38" s="22" t="s">
        <v>502</v>
      </c>
      <c r="U38" s="85" t="s">
        <v>503</v>
      </c>
      <c r="W38" t="s">
        <v>767</v>
      </c>
    </row>
    <row r="39" spans="4:23" ht="16" customHeight="1">
      <c r="E39" s="45"/>
      <c r="H39" s="52"/>
      <c r="I39" s="47"/>
      <c r="J39" s="48">
        <v>512.6</v>
      </c>
      <c r="K39" s="51">
        <v>3</v>
      </c>
      <c r="L39" s="50" t="s">
        <v>391</v>
      </c>
      <c r="P39" s="22"/>
      <c r="Q39" s="22"/>
      <c r="R39" s="65"/>
      <c r="S39" s="65"/>
      <c r="W39"/>
    </row>
    <row r="40" spans="4:23" ht="16" customHeight="1">
      <c r="D40" s="44">
        <v>6</v>
      </c>
      <c r="E40" s="45">
        <v>7.6053816470449787E-2</v>
      </c>
      <c r="F40" s="46" t="s">
        <v>427</v>
      </c>
      <c r="J40" s="48">
        <v>860.9</v>
      </c>
      <c r="K40" s="51">
        <v>2</v>
      </c>
      <c r="L40" s="50" t="s">
        <v>31</v>
      </c>
      <c r="M40" s="51">
        <v>48</v>
      </c>
      <c r="N40" s="51" t="s">
        <v>429</v>
      </c>
      <c r="O40" s="46" t="s">
        <v>33</v>
      </c>
      <c r="P40" s="49"/>
      <c r="Q40" s="48"/>
    </row>
    <row r="41" spans="4:23" ht="16" customHeight="1">
      <c r="E41" s="45">
        <v>1.2328647706826066E-2</v>
      </c>
      <c r="F41" s="46" t="s">
        <v>427</v>
      </c>
      <c r="J41" s="51">
        <v>617.79999999999995</v>
      </c>
      <c r="K41" s="51">
        <v>2</v>
      </c>
      <c r="L41" s="50" t="s">
        <v>46</v>
      </c>
      <c r="M41" s="51">
        <v>48</v>
      </c>
      <c r="N41" s="51" t="s">
        <v>433</v>
      </c>
      <c r="O41" s="51" t="s">
        <v>48</v>
      </c>
      <c r="P41" s="49"/>
      <c r="Q41" s="48"/>
    </row>
    <row r="42" spans="4:23" ht="16" customHeight="1">
      <c r="E42" s="45"/>
      <c r="J42" s="49">
        <v>924.9</v>
      </c>
      <c r="K42" s="46">
        <v>2</v>
      </c>
      <c r="L42" s="50" t="s">
        <v>50</v>
      </c>
      <c r="M42" s="51">
        <v>83</v>
      </c>
      <c r="N42" s="51" t="s">
        <v>429</v>
      </c>
      <c r="O42" s="46" t="s">
        <v>33</v>
      </c>
      <c r="P42" s="49"/>
      <c r="Q42" s="48"/>
    </row>
    <row r="43" spans="4:23" ht="16" customHeight="1">
      <c r="E43" s="45"/>
      <c r="J43" s="48">
        <v>491.3</v>
      </c>
      <c r="K43" s="51">
        <v>3</v>
      </c>
      <c r="L43" s="50" t="s">
        <v>21</v>
      </c>
      <c r="M43" s="51">
        <v>77</v>
      </c>
      <c r="N43" s="51" t="s">
        <v>425</v>
      </c>
      <c r="O43" s="46" t="s">
        <v>416</v>
      </c>
      <c r="P43" s="49"/>
    </row>
    <row r="44" spans="4:23" ht="16" customHeight="1">
      <c r="E44" s="45">
        <v>5.72</v>
      </c>
      <c r="F44" s="46" t="s">
        <v>319</v>
      </c>
      <c r="J44" s="49">
        <v>617</v>
      </c>
      <c r="K44" s="46">
        <v>3</v>
      </c>
      <c r="L44" s="50" t="s">
        <v>50</v>
      </c>
      <c r="M44" s="51">
        <v>113</v>
      </c>
      <c r="N44" s="51" t="s">
        <v>429</v>
      </c>
      <c r="O44" s="46" t="s">
        <v>33</v>
      </c>
      <c r="P44" s="49"/>
      <c r="Q44" s="48"/>
    </row>
    <row r="45" spans="4:23" ht="16" customHeight="1">
      <c r="E45" s="45"/>
      <c r="J45" s="48">
        <v>860.9</v>
      </c>
      <c r="K45" s="51">
        <v>2</v>
      </c>
      <c r="L45" s="50" t="s">
        <v>31</v>
      </c>
      <c r="P45" s="49"/>
      <c r="Q45" s="48"/>
    </row>
    <row r="46" spans="4:23" ht="16" customHeight="1">
      <c r="E46" s="45"/>
      <c r="J46" s="48">
        <v>847.4</v>
      </c>
      <c r="K46" s="51">
        <v>3</v>
      </c>
      <c r="L46" s="50" t="s">
        <v>385</v>
      </c>
      <c r="P46" s="49"/>
      <c r="Q46" s="48"/>
    </row>
    <row r="47" spans="4:23" ht="16" customHeight="1">
      <c r="E47" s="45"/>
      <c r="J47" s="48">
        <v>439.7</v>
      </c>
      <c r="K47" s="51">
        <v>2</v>
      </c>
      <c r="L47" s="50" t="s">
        <v>392</v>
      </c>
      <c r="P47" s="49"/>
      <c r="Q47" s="48"/>
    </row>
    <row r="48" spans="4:23" ht="16" customHeight="1">
      <c r="E48" s="45">
        <v>0.73075710111670611</v>
      </c>
      <c r="F48" s="46" t="s">
        <v>321</v>
      </c>
      <c r="H48" s="49" t="s">
        <v>393</v>
      </c>
      <c r="I48" s="48" t="s">
        <v>394</v>
      </c>
      <c r="J48" s="51">
        <v>617.79999999999995</v>
      </c>
      <c r="K48" s="51">
        <v>2</v>
      </c>
      <c r="L48" s="50" t="s">
        <v>46</v>
      </c>
      <c r="M48" s="51">
        <v>129</v>
      </c>
      <c r="N48" s="51" t="s">
        <v>435</v>
      </c>
      <c r="O48" s="51" t="s">
        <v>48</v>
      </c>
      <c r="P48" s="49"/>
      <c r="Q48" s="48"/>
    </row>
    <row r="49" spans="4:23" ht="16" customHeight="1">
      <c r="E49" s="45"/>
      <c r="J49" s="48">
        <v>660.6</v>
      </c>
      <c r="K49" s="51">
        <v>3</v>
      </c>
      <c r="L49" s="50" t="s">
        <v>390</v>
      </c>
      <c r="P49" s="49"/>
      <c r="Q49" s="48"/>
    </row>
    <row r="50" spans="4:23" ht="16" customHeight="1">
      <c r="E50" s="45"/>
      <c r="J50" s="48">
        <v>768.8</v>
      </c>
      <c r="K50" s="51">
        <v>2</v>
      </c>
      <c r="L50" s="50" t="s">
        <v>65</v>
      </c>
      <c r="M50" s="51">
        <v>86</v>
      </c>
      <c r="N50" s="51" t="s">
        <v>436</v>
      </c>
      <c r="O50" s="51" t="s">
        <v>374</v>
      </c>
      <c r="P50" s="49"/>
      <c r="Q50" s="48"/>
    </row>
    <row r="51" spans="4:23" ht="16" customHeight="1">
      <c r="E51" s="45"/>
      <c r="H51" s="52" t="s">
        <v>758</v>
      </c>
      <c r="I51" s="47" t="s">
        <v>759</v>
      </c>
      <c r="J51" s="48">
        <v>474.8</v>
      </c>
      <c r="K51" s="51">
        <v>2</v>
      </c>
      <c r="L51" s="50" t="s">
        <v>289</v>
      </c>
      <c r="N51" s="51" t="s">
        <v>440</v>
      </c>
      <c r="O51" s="46" t="s">
        <v>74</v>
      </c>
      <c r="P51" s="49"/>
      <c r="Q51" s="22">
        <v>7394.47</v>
      </c>
      <c r="R51" s="22">
        <v>7404.54</v>
      </c>
      <c r="S51" s="22" t="s">
        <v>966</v>
      </c>
      <c r="T51" s="51" t="s">
        <v>25</v>
      </c>
      <c r="U51" s="85" t="s">
        <v>566</v>
      </c>
      <c r="W51" s="50" t="s">
        <v>760</v>
      </c>
    </row>
    <row r="52" spans="4:23" ht="16" customHeight="1">
      <c r="E52" s="45"/>
      <c r="J52" s="48">
        <v>571.29999999999995</v>
      </c>
      <c r="K52" s="51">
        <v>2</v>
      </c>
      <c r="L52" s="50" t="s">
        <v>63</v>
      </c>
      <c r="O52" s="46"/>
      <c r="P52" s="49"/>
      <c r="Q52" s="22"/>
      <c r="R52" s="22"/>
      <c r="S52" s="65"/>
      <c r="W52" s="50"/>
    </row>
    <row r="53" spans="4:23" ht="16" customHeight="1">
      <c r="E53" s="45">
        <v>0.59497986154243188</v>
      </c>
      <c r="F53" s="46" t="s">
        <v>321</v>
      </c>
      <c r="J53" s="48">
        <v>598.79999999999995</v>
      </c>
      <c r="K53" s="51">
        <v>2</v>
      </c>
      <c r="L53" s="50" t="s">
        <v>89</v>
      </c>
      <c r="M53" s="51">
        <v>76</v>
      </c>
      <c r="N53" s="51" t="s">
        <v>434</v>
      </c>
      <c r="O53" s="46" t="s">
        <v>25</v>
      </c>
      <c r="P53" s="49"/>
      <c r="Q53" s="48"/>
    </row>
    <row r="54" spans="4:23" ht="16" customHeight="1">
      <c r="E54" s="45"/>
      <c r="J54" s="48">
        <v>512.6</v>
      </c>
      <c r="K54" s="51">
        <v>3</v>
      </c>
      <c r="L54" s="50" t="s">
        <v>391</v>
      </c>
      <c r="P54" s="49"/>
      <c r="Q54" s="48"/>
    </row>
    <row r="55" spans="4:23" ht="16" customHeight="1">
      <c r="E55" s="45"/>
      <c r="J55" s="49">
        <v>617</v>
      </c>
      <c r="K55" s="46">
        <v>3</v>
      </c>
      <c r="L55" s="50" t="s">
        <v>50</v>
      </c>
      <c r="M55" s="51">
        <v>68</v>
      </c>
      <c r="N55" s="51" t="s">
        <v>429</v>
      </c>
      <c r="O55" s="46" t="s">
        <v>417</v>
      </c>
      <c r="P55" s="49"/>
      <c r="Q55" s="48"/>
    </row>
    <row r="56" spans="4:23" ht="16" customHeight="1">
      <c r="E56" s="45"/>
      <c r="J56" s="48">
        <v>860.9</v>
      </c>
      <c r="K56" s="51">
        <v>2</v>
      </c>
      <c r="L56" s="50" t="s">
        <v>31</v>
      </c>
      <c r="P56" s="49"/>
      <c r="Q56" s="48"/>
    </row>
    <row r="57" spans="4:23" ht="16" customHeight="1">
      <c r="D57" s="44">
        <v>7</v>
      </c>
      <c r="E57" s="45">
        <v>0.91868055185638942</v>
      </c>
      <c r="F57" s="46" t="s">
        <v>437</v>
      </c>
      <c r="J57" s="48">
        <v>768.8</v>
      </c>
      <c r="K57" s="51">
        <v>2</v>
      </c>
      <c r="L57" s="50" t="s">
        <v>65</v>
      </c>
      <c r="M57" s="51">
        <v>71</v>
      </c>
      <c r="N57" s="51" t="s">
        <v>438</v>
      </c>
      <c r="O57" s="51" t="s">
        <v>374</v>
      </c>
      <c r="P57" s="49"/>
      <c r="Q57" s="48"/>
    </row>
    <row r="58" spans="4:23" ht="16" customHeight="1">
      <c r="E58" s="45"/>
      <c r="J58" s="51">
        <v>617.79999999999995</v>
      </c>
      <c r="K58" s="51">
        <v>2</v>
      </c>
      <c r="L58" s="50" t="s">
        <v>46</v>
      </c>
      <c r="M58" s="51">
        <v>70</v>
      </c>
      <c r="N58" s="51" t="s">
        <v>435</v>
      </c>
      <c r="O58" s="51" t="s">
        <v>48</v>
      </c>
      <c r="P58" s="49"/>
      <c r="Q58" s="48"/>
    </row>
    <row r="59" spans="4:23" ht="16" customHeight="1">
      <c r="E59" s="45">
        <v>1.8373611037127788</v>
      </c>
      <c r="F59" s="46" t="s">
        <v>319</v>
      </c>
      <c r="J59" s="49">
        <v>617</v>
      </c>
      <c r="K59" s="46">
        <v>3</v>
      </c>
      <c r="L59" s="50" t="s">
        <v>50</v>
      </c>
      <c r="M59" s="51">
        <v>74</v>
      </c>
      <c r="N59" s="51" t="s">
        <v>429</v>
      </c>
      <c r="O59" s="46" t="s">
        <v>33</v>
      </c>
      <c r="P59" s="49"/>
      <c r="Q59" s="48"/>
    </row>
    <row r="60" spans="4:23" ht="16" customHeight="1">
      <c r="E60" s="45"/>
      <c r="J60" s="48">
        <v>860.9</v>
      </c>
      <c r="K60" s="51">
        <v>2</v>
      </c>
      <c r="L60" s="50" t="s">
        <v>31</v>
      </c>
      <c r="P60" s="49"/>
      <c r="Q60" s="48"/>
    </row>
    <row r="61" spans="4:23" ht="16" customHeight="1">
      <c r="E61" s="45"/>
      <c r="J61" s="48">
        <v>598.79999999999995</v>
      </c>
      <c r="K61" s="51">
        <v>2</v>
      </c>
      <c r="L61" s="50" t="s">
        <v>89</v>
      </c>
      <c r="M61" s="51">
        <v>69</v>
      </c>
      <c r="N61" s="51" t="s">
        <v>439</v>
      </c>
      <c r="O61" s="46" t="s">
        <v>25</v>
      </c>
      <c r="P61" s="49"/>
      <c r="Q61" s="48"/>
    </row>
    <row r="62" spans="4:23" ht="16" customHeight="1">
      <c r="E62" s="45">
        <v>4.2986624112434848</v>
      </c>
      <c r="F62" s="46" t="s">
        <v>321</v>
      </c>
      <c r="H62" s="52">
        <v>6389.8</v>
      </c>
      <c r="I62" s="47">
        <v>6393.8</v>
      </c>
      <c r="J62" s="48">
        <v>768.8</v>
      </c>
      <c r="K62" s="51">
        <v>2</v>
      </c>
      <c r="L62" s="50" t="s">
        <v>65</v>
      </c>
      <c r="M62" s="51">
        <v>186</v>
      </c>
      <c r="N62" s="67" t="s">
        <v>373</v>
      </c>
      <c r="O62" s="68" t="s">
        <v>80</v>
      </c>
      <c r="P62" s="68"/>
      <c r="Q62" s="22">
        <v>6389.86</v>
      </c>
      <c r="R62" s="22">
        <v>6395.91</v>
      </c>
      <c r="S62" s="22">
        <v>4.7583999999999997E-42</v>
      </c>
      <c r="T62" s="22" t="s">
        <v>41</v>
      </c>
      <c r="U62" s="68" t="s">
        <v>81</v>
      </c>
      <c r="V62" s="68"/>
      <c r="W62" s="70" t="s">
        <v>82</v>
      </c>
    </row>
    <row r="63" spans="4:23" ht="16" customHeight="1">
      <c r="E63" s="45"/>
      <c r="J63" s="48">
        <v>465.7</v>
      </c>
      <c r="K63" s="51">
        <v>2</v>
      </c>
      <c r="L63" s="50" t="s">
        <v>395</v>
      </c>
      <c r="O63" s="46"/>
      <c r="P63" s="49"/>
    </row>
    <row r="64" spans="4:23" ht="16" customHeight="1">
      <c r="E64" s="45"/>
      <c r="J64" s="48">
        <v>767.6</v>
      </c>
      <c r="K64" s="51">
        <v>4</v>
      </c>
      <c r="L64" s="50" t="s">
        <v>83</v>
      </c>
      <c r="M64" s="56"/>
      <c r="O64" s="46"/>
      <c r="P64" s="49"/>
      <c r="Q64" s="48"/>
    </row>
    <row r="65" spans="2:23" ht="16" customHeight="1">
      <c r="E65" s="45"/>
      <c r="H65" s="52">
        <v>6089.9</v>
      </c>
      <c r="I65" s="47">
        <v>6094</v>
      </c>
      <c r="J65" s="48">
        <v>536.58000000000004</v>
      </c>
      <c r="K65" s="51">
        <v>3</v>
      </c>
      <c r="L65" s="50" t="s">
        <v>505</v>
      </c>
      <c r="M65" s="56"/>
      <c r="N65" s="51" t="s">
        <v>435</v>
      </c>
      <c r="O65" s="51" t="s">
        <v>48</v>
      </c>
      <c r="P65" s="49"/>
      <c r="Q65" s="22">
        <v>6089.79</v>
      </c>
      <c r="R65" s="22">
        <v>6095.85</v>
      </c>
      <c r="S65" s="65">
        <v>3.2597999999999998E-8</v>
      </c>
      <c r="T65" s="22" t="s">
        <v>41</v>
      </c>
      <c r="U65" s="85" t="s">
        <v>577</v>
      </c>
      <c r="W65" t="s">
        <v>507</v>
      </c>
    </row>
    <row r="66" spans="2:23" ht="16" customHeight="1">
      <c r="E66" s="45">
        <v>2.1321014517512422</v>
      </c>
      <c r="F66" s="46" t="s">
        <v>321</v>
      </c>
      <c r="J66" s="48">
        <v>474.8</v>
      </c>
      <c r="K66" s="51">
        <v>2</v>
      </c>
      <c r="L66" s="50" t="s">
        <v>289</v>
      </c>
      <c r="M66" s="51">
        <v>95</v>
      </c>
      <c r="N66" s="51" t="s">
        <v>440</v>
      </c>
      <c r="O66" s="46" t="s">
        <v>74</v>
      </c>
      <c r="P66" s="49"/>
      <c r="Q66" s="48"/>
    </row>
    <row r="67" spans="2:23" s="46" customFormat="1" ht="16" customHeight="1">
      <c r="E67" s="45"/>
      <c r="H67" s="49"/>
      <c r="I67" s="49"/>
      <c r="J67" s="48">
        <v>571.29999999999995</v>
      </c>
      <c r="K67" s="51">
        <v>2</v>
      </c>
      <c r="L67" s="50" t="s">
        <v>63</v>
      </c>
      <c r="M67" s="56"/>
      <c r="N67" s="51"/>
      <c r="P67" s="49"/>
      <c r="Q67" s="49"/>
    </row>
    <row r="68" spans="2:23" ht="16" customHeight="1">
      <c r="E68" s="45"/>
      <c r="H68" s="52" t="s">
        <v>500</v>
      </c>
      <c r="I68" s="47" t="s">
        <v>501</v>
      </c>
      <c r="J68" s="48">
        <v>598.79999999999995</v>
      </c>
      <c r="K68" s="51">
        <v>2</v>
      </c>
      <c r="L68" s="50" t="s">
        <v>89</v>
      </c>
      <c r="M68" s="51">
        <v>69</v>
      </c>
      <c r="N68" s="51" t="s">
        <v>434</v>
      </c>
      <c r="O68" s="51" t="s">
        <v>768</v>
      </c>
      <c r="P68" s="49"/>
      <c r="Q68" s="22">
        <v>7329.17</v>
      </c>
      <c r="R68" s="22">
        <v>7339.25</v>
      </c>
      <c r="S68" s="22">
        <v>1.96606E-11</v>
      </c>
      <c r="T68" s="22" t="s">
        <v>502</v>
      </c>
      <c r="U68" s="51" t="s">
        <v>503</v>
      </c>
      <c r="W68" s="50" t="s">
        <v>504</v>
      </c>
    </row>
    <row r="69" spans="2:23" ht="16" customHeight="1">
      <c r="D69" s="44">
        <v>8</v>
      </c>
      <c r="E69" s="45">
        <v>0.15718519126087677</v>
      </c>
      <c r="F69" s="46" t="s">
        <v>437</v>
      </c>
      <c r="J69" s="48">
        <v>776.8</v>
      </c>
      <c r="K69" s="51">
        <v>2</v>
      </c>
      <c r="L69" s="50" t="s">
        <v>396</v>
      </c>
      <c r="M69" s="51">
        <v>110</v>
      </c>
      <c r="N69" s="44" t="s">
        <v>441</v>
      </c>
      <c r="O69" s="51" t="s">
        <v>80</v>
      </c>
      <c r="P69" s="49"/>
      <c r="Q69" s="48"/>
    </row>
    <row r="70" spans="2:23" ht="16" customHeight="1">
      <c r="E70" s="45">
        <v>0.55811870262928454</v>
      </c>
      <c r="F70" s="46" t="s">
        <v>437</v>
      </c>
      <c r="J70" s="48">
        <v>474.8</v>
      </c>
      <c r="K70" s="51">
        <v>2</v>
      </c>
      <c r="L70" s="50" t="s">
        <v>289</v>
      </c>
      <c r="M70" s="51">
        <v>80</v>
      </c>
      <c r="N70" s="51" t="s">
        <v>440</v>
      </c>
      <c r="O70" s="46" t="s">
        <v>74</v>
      </c>
      <c r="P70" s="49"/>
      <c r="Q70" s="48"/>
    </row>
    <row r="71" spans="2:23" ht="16" customHeight="1">
      <c r="E71" s="45"/>
      <c r="J71" s="48">
        <v>571.29999999999995</v>
      </c>
      <c r="K71" s="51">
        <v>2</v>
      </c>
      <c r="L71" s="50" t="s">
        <v>63</v>
      </c>
      <c r="M71" s="56"/>
      <c r="O71" s="46"/>
      <c r="P71" s="49"/>
      <c r="Q71" s="48"/>
    </row>
    <row r="72" spans="2:23" ht="16" customHeight="1">
      <c r="B72" s="45"/>
      <c r="E72" s="45">
        <v>2.7410598186031618E-2</v>
      </c>
      <c r="F72" s="46" t="s">
        <v>319</v>
      </c>
      <c r="J72" s="48">
        <v>768.8</v>
      </c>
      <c r="K72" s="51">
        <v>2</v>
      </c>
      <c r="L72" s="50" t="s">
        <v>65</v>
      </c>
      <c r="M72" s="51">
        <v>127</v>
      </c>
      <c r="N72" s="51" t="s">
        <v>438</v>
      </c>
      <c r="O72" s="51" t="s">
        <v>374</v>
      </c>
      <c r="P72" s="49"/>
      <c r="Q72" s="48"/>
    </row>
    <row r="73" spans="2:23" ht="16" customHeight="1">
      <c r="B73" s="45"/>
      <c r="E73" s="45"/>
      <c r="J73" s="48">
        <v>767.6</v>
      </c>
      <c r="K73" s="51">
        <v>4</v>
      </c>
      <c r="L73" s="50" t="s">
        <v>83</v>
      </c>
      <c r="P73" s="49"/>
      <c r="Q73" s="48"/>
    </row>
    <row r="74" spans="2:23" ht="16" customHeight="1">
      <c r="B74" s="45"/>
      <c r="E74" s="45">
        <v>0.68789329570412949</v>
      </c>
      <c r="F74" s="46" t="s">
        <v>319</v>
      </c>
      <c r="J74" s="48">
        <v>474.8</v>
      </c>
      <c r="K74" s="51">
        <v>2</v>
      </c>
      <c r="L74" s="50" t="s">
        <v>289</v>
      </c>
      <c r="M74" s="51">
        <v>107</v>
      </c>
      <c r="N74" s="51" t="s">
        <v>440</v>
      </c>
      <c r="O74" s="46" t="s">
        <v>74</v>
      </c>
      <c r="P74" s="49"/>
      <c r="Q74" s="48"/>
    </row>
    <row r="75" spans="2:23" ht="16" customHeight="1">
      <c r="B75" s="45"/>
      <c r="E75" s="45"/>
      <c r="J75" s="48">
        <v>571.29999999999995</v>
      </c>
      <c r="K75" s="51">
        <v>2</v>
      </c>
      <c r="L75" s="50" t="s">
        <v>63</v>
      </c>
      <c r="M75" s="56"/>
      <c r="O75" s="46"/>
      <c r="P75" s="49"/>
      <c r="Q75" s="48"/>
    </row>
    <row r="76" spans="2:23" ht="16" customHeight="1">
      <c r="B76" s="45"/>
      <c r="E76" s="45"/>
      <c r="J76" s="49">
        <v>617</v>
      </c>
      <c r="K76" s="46">
        <v>3</v>
      </c>
      <c r="L76" s="50" t="s">
        <v>50</v>
      </c>
      <c r="M76" s="51">
        <v>91</v>
      </c>
      <c r="N76" s="51" t="s">
        <v>429</v>
      </c>
      <c r="O76" s="46" t="s">
        <v>33</v>
      </c>
      <c r="P76" s="49"/>
      <c r="Q76" s="48"/>
    </row>
    <row r="77" spans="2:23" ht="16" customHeight="1">
      <c r="B77" s="45"/>
      <c r="E77" s="45"/>
      <c r="J77" s="48">
        <v>860.9</v>
      </c>
      <c r="K77" s="51">
        <v>2</v>
      </c>
      <c r="L77" s="50" t="s">
        <v>31</v>
      </c>
      <c r="P77" s="49"/>
      <c r="Q77" s="48"/>
    </row>
    <row r="78" spans="2:23" ht="16" customHeight="1">
      <c r="B78" s="45"/>
      <c r="E78" s="45"/>
      <c r="J78" s="48">
        <v>598.79999999999995</v>
      </c>
      <c r="K78" s="51">
        <v>2</v>
      </c>
      <c r="L78" s="50" t="s">
        <v>89</v>
      </c>
      <c r="M78" s="51">
        <v>68</v>
      </c>
      <c r="N78" s="51" t="s">
        <v>434</v>
      </c>
      <c r="O78" s="46" t="s">
        <v>25</v>
      </c>
      <c r="P78" s="49"/>
      <c r="Q78" s="48"/>
    </row>
    <row r="79" spans="2:23" ht="16" customHeight="1">
      <c r="C79" s="45"/>
      <c r="E79" s="45">
        <v>0.33440583623941339</v>
      </c>
      <c r="F79" s="46" t="s">
        <v>321</v>
      </c>
      <c r="J79" s="48">
        <v>768.8</v>
      </c>
      <c r="K79" s="51">
        <v>2</v>
      </c>
      <c r="L79" s="50" t="s">
        <v>65</v>
      </c>
      <c r="M79" s="51">
        <v>135</v>
      </c>
      <c r="N79" s="51" t="s">
        <v>438</v>
      </c>
      <c r="O79" s="51" t="s">
        <v>374</v>
      </c>
      <c r="P79" s="49"/>
      <c r="Q79" s="48"/>
    </row>
    <row r="80" spans="2:23" ht="16" customHeight="1">
      <c r="E80" s="45">
        <v>1.8115058454310702</v>
      </c>
      <c r="F80" s="46" t="s">
        <v>321</v>
      </c>
      <c r="H80" s="52" t="s">
        <v>420</v>
      </c>
      <c r="I80" s="47" t="s">
        <v>421</v>
      </c>
      <c r="J80" s="48">
        <v>474.8</v>
      </c>
      <c r="K80" s="51">
        <v>2</v>
      </c>
      <c r="L80" s="50" t="s">
        <v>289</v>
      </c>
      <c r="M80" s="51">
        <v>93</v>
      </c>
      <c r="N80" s="10" t="s">
        <v>73</v>
      </c>
      <c r="O80" s="2" t="s">
        <v>74</v>
      </c>
      <c r="P80" s="5"/>
      <c r="Q80" s="66">
        <v>7394.43</v>
      </c>
      <c r="R80" s="66">
        <v>7404.52</v>
      </c>
      <c r="S80" s="22" t="s">
        <v>966</v>
      </c>
      <c r="T80" s="2" t="s">
        <v>25</v>
      </c>
      <c r="U80" s="85" t="s">
        <v>566</v>
      </c>
      <c r="V80" s="5"/>
      <c r="W80" s="4" t="s">
        <v>76</v>
      </c>
    </row>
    <row r="81" spans="4:23" ht="16" customHeight="1">
      <c r="E81" s="45"/>
      <c r="J81" s="48">
        <v>571.29999999999995</v>
      </c>
      <c r="K81" s="51">
        <v>2</v>
      </c>
      <c r="L81" s="50" t="s">
        <v>63</v>
      </c>
      <c r="M81" s="56"/>
      <c r="O81" s="46"/>
      <c r="P81" s="49"/>
    </row>
    <row r="82" spans="4:23" ht="16" customHeight="1">
      <c r="E82" s="45"/>
      <c r="J82" s="48">
        <v>598.79999999999995</v>
      </c>
      <c r="K82" s="51">
        <v>2</v>
      </c>
      <c r="L82" s="50" t="s">
        <v>89</v>
      </c>
      <c r="M82" s="51">
        <v>68</v>
      </c>
      <c r="N82" s="51" t="s">
        <v>434</v>
      </c>
      <c r="O82" s="46" t="s">
        <v>25</v>
      </c>
      <c r="P82" s="49"/>
      <c r="Q82" s="85">
        <v>7329.17</v>
      </c>
      <c r="R82" s="85">
        <v>7339.25</v>
      </c>
      <c r="S82" s="85">
        <v>1.96606E-11</v>
      </c>
      <c r="T82" s="85" t="s">
        <v>502</v>
      </c>
      <c r="U82" s="85" t="s">
        <v>503</v>
      </c>
      <c r="W82" s="50" t="s">
        <v>504</v>
      </c>
    </row>
    <row r="83" spans="4:23" ht="16" customHeight="1">
      <c r="E83" s="45"/>
      <c r="J83" s="51">
        <v>617.79999999999995</v>
      </c>
      <c r="K83" s="51">
        <v>2</v>
      </c>
      <c r="L83" s="50" t="s">
        <v>46</v>
      </c>
      <c r="M83" s="51">
        <v>59</v>
      </c>
      <c r="N83" s="51" t="s">
        <v>435</v>
      </c>
      <c r="O83" s="51" t="s">
        <v>48</v>
      </c>
      <c r="P83" s="49"/>
      <c r="Q83" s="48"/>
    </row>
    <row r="84" spans="4:23" ht="16" customHeight="1">
      <c r="D84" s="44">
        <v>9</v>
      </c>
      <c r="E84" s="45">
        <v>4.5161135673573737E-2</v>
      </c>
      <c r="F84" s="46" t="s">
        <v>442</v>
      </c>
      <c r="J84" s="48">
        <v>649.29999999999995</v>
      </c>
      <c r="K84" s="51">
        <v>2</v>
      </c>
      <c r="L84" s="50" t="s">
        <v>172</v>
      </c>
      <c r="M84" s="51">
        <v>72</v>
      </c>
      <c r="N84" s="51" t="s">
        <v>443</v>
      </c>
      <c r="O84" s="51" t="s">
        <v>748</v>
      </c>
      <c r="P84" s="49"/>
      <c r="Q84" s="48"/>
    </row>
    <row r="85" spans="4:23" ht="16" customHeight="1">
      <c r="E85" s="45">
        <v>4.5161135673573737E-2</v>
      </c>
      <c r="F85" s="46" t="s">
        <v>437</v>
      </c>
      <c r="J85" s="48">
        <v>768.8</v>
      </c>
      <c r="K85" s="51">
        <v>2</v>
      </c>
      <c r="L85" s="50" t="s">
        <v>65</v>
      </c>
      <c r="M85" s="51">
        <v>67</v>
      </c>
      <c r="N85" s="51" t="s">
        <v>438</v>
      </c>
      <c r="O85" s="51" t="s">
        <v>374</v>
      </c>
      <c r="P85" s="49"/>
      <c r="Q85" s="48"/>
    </row>
    <row r="86" spans="4:23" ht="16" customHeight="1">
      <c r="E86" s="45"/>
      <c r="J86" s="51">
        <v>617.79999999999995</v>
      </c>
      <c r="K86" s="51">
        <v>2</v>
      </c>
      <c r="L86" s="50" t="s">
        <v>46</v>
      </c>
      <c r="M86" s="51">
        <v>61</v>
      </c>
      <c r="N86" s="51" t="s">
        <v>435</v>
      </c>
      <c r="O86" s="51" t="s">
        <v>48</v>
      </c>
      <c r="P86" s="49"/>
      <c r="Q86" s="48"/>
    </row>
    <row r="87" spans="4:23" ht="16" customHeight="1">
      <c r="E87" s="45">
        <v>9.0322271347147473E-2</v>
      </c>
      <c r="F87" s="46" t="s">
        <v>319</v>
      </c>
      <c r="J87" s="49">
        <v>617</v>
      </c>
      <c r="K87" s="46">
        <v>3</v>
      </c>
      <c r="L87" s="50" t="s">
        <v>50</v>
      </c>
      <c r="M87" s="51">
        <v>93</v>
      </c>
      <c r="N87" s="51" t="s">
        <v>429</v>
      </c>
      <c r="O87" s="46" t="s">
        <v>33</v>
      </c>
      <c r="P87" s="49"/>
      <c r="Q87" s="48"/>
    </row>
    <row r="88" spans="4:23" ht="16" customHeight="1">
      <c r="E88" s="45"/>
      <c r="J88" s="48">
        <v>860.9</v>
      </c>
      <c r="K88" s="51">
        <v>2</v>
      </c>
      <c r="L88" s="50" t="s">
        <v>31</v>
      </c>
      <c r="P88" s="49"/>
      <c r="Q88" s="48"/>
    </row>
    <row r="89" spans="4:23" ht="16" customHeight="1">
      <c r="E89" s="45">
        <v>9.5570727655157409E-2</v>
      </c>
      <c r="F89" s="46" t="s">
        <v>321</v>
      </c>
      <c r="H89" s="52">
        <v>6405.8</v>
      </c>
      <c r="I89" s="47">
        <v>6409.9</v>
      </c>
      <c r="J89" s="48">
        <v>776.8</v>
      </c>
      <c r="K89" s="51">
        <v>2</v>
      </c>
      <c r="L89" s="50" t="s">
        <v>396</v>
      </c>
      <c r="M89" s="51">
        <v>172</v>
      </c>
      <c r="N89" s="51" t="s">
        <v>444</v>
      </c>
      <c r="O89" s="51" t="s">
        <v>80</v>
      </c>
      <c r="P89" s="49"/>
      <c r="Q89" s="85">
        <v>6405.59</v>
      </c>
      <c r="R89" s="85">
        <v>6411.91</v>
      </c>
      <c r="S89" s="243">
        <v>1.221556068E-9</v>
      </c>
      <c r="T89" s="85" t="s">
        <v>41</v>
      </c>
      <c r="U89" s="85" t="s">
        <v>81</v>
      </c>
      <c r="W89" t="s">
        <v>775</v>
      </c>
    </row>
    <row r="90" spans="4:23" ht="16" customHeight="1">
      <c r="E90" s="45"/>
      <c r="J90" s="48">
        <v>767.6</v>
      </c>
      <c r="K90" s="51">
        <v>4</v>
      </c>
      <c r="L90" s="50" t="s">
        <v>83</v>
      </c>
      <c r="P90" s="49"/>
      <c r="Q90" s="48"/>
    </row>
    <row r="91" spans="4:23" ht="16" customHeight="1">
      <c r="E91" s="45">
        <v>0.17539608638628501</v>
      </c>
      <c r="F91" s="46" t="s">
        <v>321</v>
      </c>
      <c r="J91" s="48">
        <v>474.8</v>
      </c>
      <c r="K91" s="51">
        <v>2</v>
      </c>
      <c r="L91" s="50" t="s">
        <v>289</v>
      </c>
      <c r="M91" s="51">
        <v>77</v>
      </c>
      <c r="N91" s="51" t="s">
        <v>440</v>
      </c>
      <c r="O91" s="46" t="s">
        <v>74</v>
      </c>
      <c r="P91" s="49"/>
      <c r="Q91" s="48"/>
    </row>
    <row r="92" spans="4:23" ht="16" customHeight="1">
      <c r="E92" s="45"/>
      <c r="J92" s="48">
        <v>571.29999999999995</v>
      </c>
      <c r="K92" s="51">
        <v>2</v>
      </c>
      <c r="L92" s="50" t="s">
        <v>63</v>
      </c>
      <c r="M92" s="56"/>
      <c r="O92" s="46"/>
      <c r="P92" s="49"/>
      <c r="Q92" s="48"/>
    </row>
    <row r="93" spans="4:23" ht="16" customHeight="1">
      <c r="D93" s="44">
        <v>10</v>
      </c>
      <c r="E93" s="45">
        <v>0.22020000000000001</v>
      </c>
      <c r="F93" s="46" t="s">
        <v>445</v>
      </c>
      <c r="J93" s="48">
        <v>487.2</v>
      </c>
      <c r="K93" s="51">
        <v>2</v>
      </c>
      <c r="L93" s="50" t="s">
        <v>125</v>
      </c>
      <c r="M93" s="51">
        <v>205</v>
      </c>
      <c r="N93" s="51" t="s">
        <v>446</v>
      </c>
      <c r="O93" s="51" t="s">
        <v>298</v>
      </c>
      <c r="P93" s="49"/>
      <c r="Q93" s="48"/>
    </row>
    <row r="94" spans="4:23" ht="16" customHeight="1">
      <c r="J94" s="48">
        <v>799.3</v>
      </c>
      <c r="K94" s="51">
        <v>2</v>
      </c>
      <c r="L94" s="50" t="s">
        <v>117</v>
      </c>
      <c r="P94" s="49"/>
      <c r="Q94" s="48"/>
    </row>
    <row r="95" spans="4:23" ht="16" customHeight="1">
      <c r="J95" s="48">
        <v>916.9</v>
      </c>
      <c r="K95" s="51">
        <v>2</v>
      </c>
      <c r="L95" s="50" t="s">
        <v>113</v>
      </c>
      <c r="P95" s="49"/>
      <c r="Q95" s="48"/>
    </row>
    <row r="96" spans="4:23" ht="16" customHeight="1">
      <c r="J96" s="48">
        <v>601.29999999999995</v>
      </c>
      <c r="K96" s="51">
        <v>2</v>
      </c>
      <c r="L96" s="50" t="s">
        <v>114</v>
      </c>
      <c r="M96" s="51">
        <v>64</v>
      </c>
      <c r="N96" s="51" t="s">
        <v>447</v>
      </c>
      <c r="O96" s="51" t="s">
        <v>397</v>
      </c>
      <c r="P96" s="49"/>
    </row>
    <row r="97" spans="4:23" ht="16" customHeight="1">
      <c r="E97" s="45">
        <v>0.78080000000000005</v>
      </c>
      <c r="H97" s="72">
        <v>6367.7</v>
      </c>
      <c r="I97" s="72">
        <v>6363.9</v>
      </c>
      <c r="N97" s="48" t="s">
        <v>769</v>
      </c>
      <c r="O97" s="51" t="s">
        <v>80</v>
      </c>
      <c r="P97" s="49"/>
      <c r="Q97" s="22">
        <v>6367.72</v>
      </c>
      <c r="R97" s="22">
        <v>6363.93</v>
      </c>
      <c r="S97" s="65">
        <v>5.9209951499999994E-14</v>
      </c>
      <c r="T97" s="22" t="s">
        <v>41</v>
      </c>
      <c r="U97" s="51" t="s">
        <v>81</v>
      </c>
      <c r="W97" t="s">
        <v>772</v>
      </c>
    </row>
    <row r="98" spans="4:23" ht="16" customHeight="1">
      <c r="H98" s="72">
        <v>6389.9</v>
      </c>
      <c r="I98" s="72">
        <v>6395.9</v>
      </c>
      <c r="N98" s="48" t="s">
        <v>770</v>
      </c>
      <c r="O98" s="51" t="s">
        <v>80</v>
      </c>
      <c r="P98" s="49"/>
      <c r="Q98" s="22">
        <v>6389.86</v>
      </c>
      <c r="R98" s="22">
        <v>6395.91</v>
      </c>
      <c r="S98" s="65">
        <v>4.7583999999999997E-42</v>
      </c>
      <c r="T98" s="22" t="s">
        <v>41</v>
      </c>
      <c r="U98" s="51" t="s">
        <v>81</v>
      </c>
      <c r="W98" t="s">
        <v>773</v>
      </c>
    </row>
    <row r="99" spans="4:23" ht="16" customHeight="1">
      <c r="E99" s="51">
        <v>0.10299999999999999</v>
      </c>
      <c r="F99" s="46" t="s">
        <v>423</v>
      </c>
      <c r="H99" s="52">
        <v>7347.3</v>
      </c>
      <c r="I99" s="47">
        <v>7351.3</v>
      </c>
      <c r="J99" s="49">
        <v>617</v>
      </c>
      <c r="K99" s="46">
        <v>3</v>
      </c>
      <c r="L99" s="50" t="s">
        <v>50</v>
      </c>
      <c r="M99" s="51">
        <v>98</v>
      </c>
      <c r="N99" s="23" t="s">
        <v>121</v>
      </c>
      <c r="O99" s="2" t="s">
        <v>25</v>
      </c>
      <c r="P99" s="5"/>
      <c r="Q99" s="22">
        <v>7347.3</v>
      </c>
      <c r="R99" s="22">
        <v>7354.4</v>
      </c>
      <c r="S99" s="65">
        <v>1.2090119909999999E-5</v>
      </c>
      <c r="T99" s="22" t="s">
        <v>25</v>
      </c>
      <c r="U99" s="2" t="s">
        <v>989</v>
      </c>
      <c r="V99" s="5"/>
      <c r="W99" s="4" t="s">
        <v>756</v>
      </c>
    </row>
    <row r="100" spans="4:23" ht="16" customHeight="1">
      <c r="J100" s="48">
        <v>860.9</v>
      </c>
      <c r="K100" s="51">
        <v>2</v>
      </c>
      <c r="L100" s="50" t="s">
        <v>31</v>
      </c>
      <c r="P100" s="49"/>
      <c r="Q100" s="48"/>
    </row>
    <row r="101" spans="4:23" ht="16" customHeight="1">
      <c r="D101" s="44">
        <v>11</v>
      </c>
      <c r="E101" s="45">
        <v>9.8400000000000001E-2</v>
      </c>
      <c r="F101" s="46" t="s">
        <v>445</v>
      </c>
      <c r="I101" s="47" t="s">
        <v>398</v>
      </c>
      <c r="J101" s="48">
        <v>487.2</v>
      </c>
      <c r="K101" s="51">
        <v>2</v>
      </c>
      <c r="L101" s="50" t="s">
        <v>125</v>
      </c>
      <c r="M101" s="51">
        <v>222</v>
      </c>
      <c r="N101" s="51" t="s">
        <v>446</v>
      </c>
      <c r="O101" s="51" t="s">
        <v>298</v>
      </c>
      <c r="P101" s="49"/>
      <c r="Q101" s="22">
        <v>13335.57</v>
      </c>
      <c r="R101" s="22">
        <v>13349.69</v>
      </c>
      <c r="S101" s="22">
        <v>6.6733799999999998E-10</v>
      </c>
      <c r="T101" s="22" t="s">
        <v>111</v>
      </c>
      <c r="U101" s="85" t="s">
        <v>571</v>
      </c>
      <c r="W101" t="s">
        <v>757</v>
      </c>
    </row>
    <row r="102" spans="4:23" ht="16" customHeight="1">
      <c r="J102" s="48">
        <v>799.3</v>
      </c>
      <c r="K102" s="51">
        <v>2</v>
      </c>
      <c r="L102" s="50" t="s">
        <v>117</v>
      </c>
      <c r="P102" s="49"/>
      <c r="Q102" s="48"/>
    </row>
    <row r="103" spans="4:23" ht="16" customHeight="1">
      <c r="J103" s="48">
        <v>916.9</v>
      </c>
      <c r="K103" s="51">
        <v>2</v>
      </c>
      <c r="L103" s="50" t="s">
        <v>113</v>
      </c>
      <c r="P103" s="49"/>
      <c r="Q103" s="48"/>
    </row>
    <row r="104" spans="4:23" ht="16" customHeight="1">
      <c r="E104" s="45">
        <v>2.5084702845015568E-2</v>
      </c>
      <c r="F104" s="46" t="s">
        <v>423</v>
      </c>
      <c r="H104" s="52" t="s">
        <v>486</v>
      </c>
      <c r="I104" s="47" t="s">
        <v>422</v>
      </c>
      <c r="J104" s="48">
        <v>646.79999999999995</v>
      </c>
      <c r="K104" s="51">
        <v>2</v>
      </c>
      <c r="L104" s="50" t="s">
        <v>300</v>
      </c>
      <c r="M104" s="51">
        <v>96</v>
      </c>
      <c r="N104" s="51" t="s">
        <v>448</v>
      </c>
      <c r="O104" s="51" t="s">
        <v>144</v>
      </c>
      <c r="P104" s="49"/>
      <c r="Q104" s="51" t="s">
        <v>484</v>
      </c>
      <c r="R104" s="48" t="s">
        <v>485</v>
      </c>
      <c r="S104" s="22" t="s">
        <v>966</v>
      </c>
      <c r="T104" s="51" t="s">
        <v>487</v>
      </c>
      <c r="U104" s="51" t="s">
        <v>488</v>
      </c>
      <c r="W104" s="50" t="s">
        <v>489</v>
      </c>
    </row>
    <row r="105" spans="4:23" ht="16" customHeight="1">
      <c r="E105" s="45">
        <v>4.0515297154984434E-2</v>
      </c>
      <c r="F105" s="46" t="s">
        <v>423</v>
      </c>
      <c r="H105" s="49" t="s">
        <v>449</v>
      </c>
      <c r="I105" s="48" t="s">
        <v>490</v>
      </c>
      <c r="J105" s="49">
        <v>617</v>
      </c>
      <c r="K105" s="46">
        <v>3</v>
      </c>
      <c r="L105" s="50" t="s">
        <v>50</v>
      </c>
      <c r="M105" s="51">
        <v>77</v>
      </c>
      <c r="N105" s="51" t="s">
        <v>429</v>
      </c>
      <c r="O105" s="46" t="s">
        <v>33</v>
      </c>
      <c r="P105" s="44"/>
      <c r="Q105" s="48"/>
    </row>
    <row r="106" spans="4:23" ht="16" customHeight="1">
      <c r="J106" s="48">
        <v>860.9</v>
      </c>
      <c r="K106" s="51">
        <v>2</v>
      </c>
      <c r="L106" s="50" t="s">
        <v>31</v>
      </c>
      <c r="P106" s="49"/>
      <c r="Q106" s="48"/>
    </row>
    <row r="107" spans="4:23" ht="16" customHeight="1">
      <c r="D107" s="44">
        <v>12</v>
      </c>
      <c r="E107" s="53">
        <v>0.40979999999999994</v>
      </c>
      <c r="F107" s="46" t="s">
        <v>445</v>
      </c>
      <c r="J107" s="48">
        <v>487.2</v>
      </c>
      <c r="K107" s="51">
        <v>2</v>
      </c>
      <c r="L107" s="50" t="s">
        <v>125</v>
      </c>
      <c r="M107" s="51">
        <v>149</v>
      </c>
      <c r="N107" s="51" t="s">
        <v>446</v>
      </c>
      <c r="O107" s="51" t="s">
        <v>298</v>
      </c>
      <c r="P107" s="49"/>
      <c r="Q107" s="48"/>
    </row>
    <row r="108" spans="4:23" ht="16" customHeight="1">
      <c r="J108" s="48">
        <v>799.3</v>
      </c>
      <c r="K108" s="51">
        <v>2</v>
      </c>
      <c r="L108" s="50" t="s">
        <v>117</v>
      </c>
      <c r="P108" s="49"/>
      <c r="Q108" s="48"/>
    </row>
    <row r="109" spans="4:23" ht="16" customHeight="1">
      <c r="J109" s="48">
        <v>916.9</v>
      </c>
      <c r="K109" s="51">
        <v>2</v>
      </c>
      <c r="L109" s="50" t="s">
        <v>113</v>
      </c>
      <c r="P109" s="49"/>
      <c r="Q109" s="48"/>
    </row>
    <row r="110" spans="4:23" ht="16" customHeight="1">
      <c r="J110" s="48">
        <v>601.29999999999995</v>
      </c>
      <c r="K110" s="51">
        <v>2</v>
      </c>
      <c r="L110" s="50" t="s">
        <v>114</v>
      </c>
      <c r="M110" s="51">
        <v>66</v>
      </c>
      <c r="N110" s="51" t="s">
        <v>447</v>
      </c>
      <c r="O110" s="51" t="s">
        <v>397</v>
      </c>
      <c r="P110" s="49"/>
      <c r="Q110" s="48"/>
    </row>
    <row r="111" spans="4:23" ht="16" customHeight="1">
      <c r="E111" s="45">
        <v>1.2294</v>
      </c>
      <c r="F111" s="46" t="s">
        <v>330</v>
      </c>
      <c r="J111" s="48">
        <v>487.2</v>
      </c>
      <c r="K111" s="51">
        <v>2</v>
      </c>
      <c r="L111" s="50" t="s">
        <v>125</v>
      </c>
      <c r="M111" s="51">
        <v>165</v>
      </c>
      <c r="N111" s="51" t="s">
        <v>446</v>
      </c>
      <c r="O111" s="51" t="s">
        <v>298</v>
      </c>
      <c r="P111" s="49"/>
      <c r="Q111" s="48"/>
    </row>
    <row r="112" spans="4:23" ht="16" customHeight="1">
      <c r="J112" s="48">
        <v>575.9</v>
      </c>
      <c r="K112" s="51">
        <v>3</v>
      </c>
      <c r="L112" s="50" t="s">
        <v>133</v>
      </c>
      <c r="P112" s="49"/>
      <c r="Q112" s="48"/>
    </row>
    <row r="113" spans="2:24" ht="16" customHeight="1">
      <c r="J113" s="48">
        <v>916.9</v>
      </c>
      <c r="K113" s="51">
        <v>2</v>
      </c>
      <c r="L113" s="50" t="s">
        <v>113</v>
      </c>
      <c r="P113" s="49"/>
      <c r="Q113" s="48"/>
    </row>
    <row r="114" spans="2:24" ht="16" customHeight="1">
      <c r="E114" s="45">
        <v>0.13247121214378285</v>
      </c>
      <c r="F114" s="46" t="s">
        <v>450</v>
      </c>
      <c r="I114" s="48" t="s">
        <v>399</v>
      </c>
      <c r="J114" s="48">
        <v>487.2</v>
      </c>
      <c r="K114" s="51">
        <v>2</v>
      </c>
      <c r="L114" s="50" t="s">
        <v>125</v>
      </c>
      <c r="M114" s="51">
        <v>175</v>
      </c>
      <c r="N114" s="51" t="s">
        <v>446</v>
      </c>
      <c r="O114" s="51" t="s">
        <v>298</v>
      </c>
      <c r="P114" s="49"/>
      <c r="Q114" s="48"/>
    </row>
    <row r="115" spans="2:24" ht="16" customHeight="1">
      <c r="J115" s="48">
        <v>799.3</v>
      </c>
      <c r="K115" s="51">
        <v>2</v>
      </c>
      <c r="L115" s="50" t="s">
        <v>117</v>
      </c>
      <c r="P115" s="49"/>
      <c r="Q115" s="48"/>
    </row>
    <row r="116" spans="2:24" ht="16" customHeight="1">
      <c r="E116" s="53"/>
      <c r="J116" s="48">
        <v>916.9</v>
      </c>
      <c r="K116" s="51">
        <v>2</v>
      </c>
      <c r="L116" s="50" t="s">
        <v>113</v>
      </c>
      <c r="P116" s="49"/>
      <c r="Q116" s="48"/>
    </row>
    <row r="117" spans="2:24" ht="16" customHeight="1">
      <c r="E117" s="45">
        <v>0.27732878785621706</v>
      </c>
      <c r="F117" s="46" t="s">
        <v>450</v>
      </c>
      <c r="H117" s="15">
        <v>13322.21</v>
      </c>
      <c r="I117" s="26">
        <v>13329.2305</v>
      </c>
      <c r="J117" s="48">
        <v>646.79999999999995</v>
      </c>
      <c r="K117" s="51">
        <v>2</v>
      </c>
      <c r="L117" s="50" t="s">
        <v>300</v>
      </c>
      <c r="M117" s="51">
        <v>376</v>
      </c>
      <c r="N117" s="10" t="s">
        <v>143</v>
      </c>
      <c r="O117" s="2" t="s">
        <v>144</v>
      </c>
      <c r="P117" s="5"/>
      <c r="Q117" s="22">
        <v>13328.19</v>
      </c>
      <c r="R117" s="22">
        <v>13334.29</v>
      </c>
      <c r="S117" s="22" t="s">
        <v>966</v>
      </c>
      <c r="T117" s="22" t="s">
        <v>145</v>
      </c>
      <c r="U117" s="85" t="s">
        <v>146</v>
      </c>
      <c r="V117" s="27"/>
      <c r="W117" s="4" t="s">
        <v>147</v>
      </c>
    </row>
    <row r="118" spans="2:24" ht="16" customHeight="1">
      <c r="J118" s="48">
        <v>481.8</v>
      </c>
      <c r="K118" s="51">
        <v>2</v>
      </c>
      <c r="L118" s="50" t="s">
        <v>400</v>
      </c>
      <c r="P118" s="49"/>
      <c r="Q118" s="48"/>
    </row>
    <row r="119" spans="2:24" ht="16" customHeight="1">
      <c r="D119" s="44">
        <v>13</v>
      </c>
      <c r="F119" s="46" t="s">
        <v>330</v>
      </c>
      <c r="H119" s="3" t="s">
        <v>102</v>
      </c>
      <c r="I119" s="3" t="s">
        <v>103</v>
      </c>
      <c r="J119" s="3">
        <v>903.9</v>
      </c>
      <c r="K119" s="2">
        <v>2</v>
      </c>
      <c r="L119" s="4" t="s">
        <v>104</v>
      </c>
      <c r="M119" s="23" t="s">
        <v>87</v>
      </c>
      <c r="N119" s="23" t="s">
        <v>383</v>
      </c>
      <c r="O119" s="2" t="s">
        <v>25</v>
      </c>
      <c r="P119" s="5"/>
      <c r="Q119" s="22">
        <v>7378.5</v>
      </c>
      <c r="R119" s="22">
        <v>7386.54</v>
      </c>
      <c r="S119" s="22" t="s">
        <v>966</v>
      </c>
      <c r="T119" s="22" t="s">
        <v>25</v>
      </c>
      <c r="U119" s="85" t="s">
        <v>990</v>
      </c>
      <c r="V119" s="5"/>
      <c r="W119" s="4" t="s">
        <v>105</v>
      </c>
      <c r="X119" s="2"/>
    </row>
    <row r="120" spans="2:24" ht="16" customHeight="1">
      <c r="E120" s="45"/>
      <c r="H120" s="3"/>
      <c r="I120" s="3"/>
      <c r="J120" s="3">
        <v>832</v>
      </c>
      <c r="K120" s="2">
        <v>3</v>
      </c>
      <c r="L120" s="4" t="s">
        <v>106</v>
      </c>
      <c r="M120" s="23" t="s">
        <v>87</v>
      </c>
      <c r="N120" s="2" t="s">
        <v>107</v>
      </c>
      <c r="O120" s="2" t="s">
        <v>25</v>
      </c>
      <c r="P120" s="5"/>
      <c r="Q120" s="2"/>
      <c r="R120" s="3"/>
      <c r="S120" s="14"/>
      <c r="T120" s="2"/>
      <c r="U120" s="2"/>
      <c r="V120" s="5"/>
      <c r="W120" s="2"/>
      <c r="X120" s="2"/>
    </row>
    <row r="121" spans="2:24" s="43" customFormat="1" ht="16" customHeight="1">
      <c r="B121" s="66"/>
      <c r="D121" s="44"/>
      <c r="E121" s="45">
        <v>15.12</v>
      </c>
      <c r="F121" s="46"/>
      <c r="G121" s="46"/>
      <c r="H121" s="52" t="s">
        <v>381</v>
      </c>
      <c r="I121" s="72" t="s">
        <v>378</v>
      </c>
      <c r="J121" s="48">
        <v>799.3</v>
      </c>
      <c r="K121" s="51">
        <v>2</v>
      </c>
      <c r="L121" s="50" t="s">
        <v>117</v>
      </c>
      <c r="M121" s="51">
        <v>252</v>
      </c>
      <c r="N121" s="44" t="s">
        <v>382</v>
      </c>
      <c r="O121" s="51" t="s">
        <v>298</v>
      </c>
      <c r="P121" s="60"/>
      <c r="Q121" s="22">
        <v>13335.57</v>
      </c>
      <c r="R121" s="22">
        <v>13349.69</v>
      </c>
      <c r="S121" s="22">
        <v>6.6733799999999998E-10</v>
      </c>
      <c r="T121" s="22" t="s">
        <v>111</v>
      </c>
      <c r="U121" s="85" t="s">
        <v>571</v>
      </c>
      <c r="W121" s="43" t="s">
        <v>380</v>
      </c>
    </row>
    <row r="122" spans="2:24" ht="16" customHeight="1">
      <c r="H122" s="51"/>
      <c r="I122" s="51"/>
      <c r="J122" s="48">
        <v>575.9</v>
      </c>
      <c r="K122" s="51">
        <v>3</v>
      </c>
      <c r="L122" s="50" t="s">
        <v>133</v>
      </c>
      <c r="P122" s="49"/>
      <c r="Q122" s="48"/>
    </row>
    <row r="123" spans="2:24" ht="16" customHeight="1">
      <c r="J123" s="48">
        <v>916.9</v>
      </c>
      <c r="K123" s="51">
        <v>2</v>
      </c>
      <c r="L123" s="50" t="s">
        <v>113</v>
      </c>
      <c r="P123" s="49"/>
      <c r="Q123" s="48"/>
    </row>
    <row r="124" spans="2:24" ht="16" customHeight="1">
      <c r="D124" s="44">
        <v>14</v>
      </c>
      <c r="E124" s="45">
        <v>1.262</v>
      </c>
      <c r="F124" s="46" t="s">
        <v>330</v>
      </c>
      <c r="H124" s="49" t="s">
        <v>451</v>
      </c>
      <c r="I124" s="48" t="s">
        <v>452</v>
      </c>
      <c r="J124" s="48">
        <v>487.2</v>
      </c>
      <c r="K124" s="51">
        <v>2</v>
      </c>
      <c r="L124" s="50" t="s">
        <v>125</v>
      </c>
      <c r="M124" s="51">
        <v>234</v>
      </c>
      <c r="N124" s="44" t="s">
        <v>382</v>
      </c>
      <c r="O124" s="51" t="s">
        <v>298</v>
      </c>
      <c r="P124" s="60"/>
      <c r="Q124" s="22">
        <v>13335.57</v>
      </c>
      <c r="R124" s="22">
        <v>13349.69</v>
      </c>
      <c r="S124" s="22">
        <v>6.6733799999999998E-10</v>
      </c>
      <c r="T124" s="22" t="s">
        <v>111</v>
      </c>
      <c r="U124" s="85" t="s">
        <v>571</v>
      </c>
      <c r="V124" s="43"/>
      <c r="W124" s="43" t="s">
        <v>380</v>
      </c>
      <c r="X124" s="43"/>
    </row>
    <row r="125" spans="2:24" ht="16" customHeight="1">
      <c r="J125" s="48">
        <v>799.3</v>
      </c>
      <c r="K125" s="51">
        <v>2</v>
      </c>
      <c r="L125" s="50" t="s">
        <v>117</v>
      </c>
      <c r="P125" s="49"/>
      <c r="Q125" s="48"/>
    </row>
    <row r="126" spans="2:24" ht="16" customHeight="1">
      <c r="J126" s="48">
        <v>916.9</v>
      </c>
      <c r="K126" s="51">
        <v>2</v>
      </c>
      <c r="L126" s="50" t="s">
        <v>113</v>
      </c>
      <c r="P126" s="49"/>
      <c r="Q126" s="48"/>
    </row>
    <row r="127" spans="2:24" ht="16" customHeight="1">
      <c r="J127" s="48">
        <v>601.29999999999995</v>
      </c>
      <c r="K127" s="51">
        <v>2</v>
      </c>
      <c r="L127" s="50" t="s">
        <v>114</v>
      </c>
      <c r="M127" s="51">
        <v>63</v>
      </c>
      <c r="N127" s="51" t="s">
        <v>447</v>
      </c>
      <c r="O127" s="51" t="s">
        <v>397</v>
      </c>
      <c r="P127" s="49"/>
      <c r="Q127" s="48"/>
    </row>
    <row r="128" spans="2:24" ht="16" customHeight="1">
      <c r="D128" s="44">
        <v>15</v>
      </c>
      <c r="E128" s="45">
        <v>0.315</v>
      </c>
      <c r="F128" s="46" t="s">
        <v>330</v>
      </c>
      <c r="H128" s="52" t="s">
        <v>418</v>
      </c>
      <c r="I128" s="48" t="s">
        <v>453</v>
      </c>
      <c r="J128" s="48">
        <v>799.3</v>
      </c>
      <c r="K128" s="51">
        <v>2</v>
      </c>
      <c r="L128" s="50" t="s">
        <v>117</v>
      </c>
      <c r="M128" s="51">
        <v>187</v>
      </c>
      <c r="N128" s="44" t="s">
        <v>382</v>
      </c>
      <c r="O128" s="51" t="s">
        <v>298</v>
      </c>
      <c r="P128" s="60"/>
      <c r="Q128" s="22">
        <v>13335.57</v>
      </c>
      <c r="R128" s="22">
        <v>13349.69</v>
      </c>
      <c r="S128" s="22">
        <v>6.6733799999999998E-10</v>
      </c>
      <c r="T128" s="22" t="s">
        <v>111</v>
      </c>
      <c r="U128" s="85" t="s">
        <v>571</v>
      </c>
      <c r="V128" s="43"/>
      <c r="W128" s="43" t="s">
        <v>380</v>
      </c>
      <c r="X128" s="43"/>
    </row>
    <row r="129" spans="4:17" ht="16" customHeight="1">
      <c r="J129" s="48">
        <v>916.9</v>
      </c>
      <c r="K129" s="51">
        <v>2</v>
      </c>
      <c r="L129" s="50" t="s">
        <v>113</v>
      </c>
      <c r="P129" s="49"/>
      <c r="Q129" s="48"/>
    </row>
    <row r="130" spans="4:17" ht="16" customHeight="1">
      <c r="J130" s="48">
        <v>601.29999999999995</v>
      </c>
      <c r="K130" s="51">
        <v>2</v>
      </c>
      <c r="L130" s="50" t="s">
        <v>114</v>
      </c>
      <c r="M130" s="51">
        <v>65</v>
      </c>
      <c r="N130" s="51" t="s">
        <v>447</v>
      </c>
      <c r="O130" s="51" t="s">
        <v>397</v>
      </c>
      <c r="P130" s="49"/>
      <c r="Q130" s="48"/>
    </row>
    <row r="131" spans="4:17" ht="16" customHeight="1">
      <c r="D131" s="44">
        <v>16</v>
      </c>
      <c r="E131" s="45">
        <v>0.14349999999999999</v>
      </c>
      <c r="F131" s="46" t="s">
        <v>424</v>
      </c>
      <c r="O131" s="51" t="s">
        <v>156</v>
      </c>
      <c r="P131" s="49"/>
      <c r="Q131" s="48"/>
    </row>
    <row r="132" spans="4:17" ht="16" customHeight="1">
      <c r="E132" s="45">
        <v>0.14349999999999999</v>
      </c>
      <c r="F132" s="46" t="s">
        <v>321</v>
      </c>
      <c r="H132" s="49">
        <v>7240.4</v>
      </c>
      <c r="I132" s="48">
        <v>7244</v>
      </c>
      <c r="J132" s="48">
        <v>721.3</v>
      </c>
      <c r="K132" s="51">
        <v>2</v>
      </c>
      <c r="L132" s="50" t="s">
        <v>401</v>
      </c>
      <c r="M132" s="56" t="s">
        <v>87</v>
      </c>
      <c r="N132" s="56" t="s">
        <v>454</v>
      </c>
      <c r="O132" s="46" t="s">
        <v>25</v>
      </c>
      <c r="P132" s="49"/>
      <c r="Q132" s="48"/>
    </row>
    <row r="133" spans="4:17" ht="16" customHeight="1">
      <c r="D133" s="44">
        <v>17</v>
      </c>
      <c r="E133" s="45">
        <v>0.8</v>
      </c>
      <c r="F133" s="46" t="s">
        <v>455</v>
      </c>
      <c r="J133" s="48">
        <v>649.29999999999995</v>
      </c>
      <c r="K133" s="51">
        <v>2</v>
      </c>
      <c r="L133" s="50" t="s">
        <v>172</v>
      </c>
      <c r="M133" s="51">
        <v>69</v>
      </c>
      <c r="N133" s="51" t="s">
        <v>456</v>
      </c>
      <c r="O133" s="51" t="s">
        <v>166</v>
      </c>
      <c r="P133" s="49"/>
      <c r="Q133" s="48"/>
    </row>
    <row r="134" spans="4:17" ht="16" customHeight="1">
      <c r="E134" s="45">
        <v>8.0000000000000016E-2</v>
      </c>
      <c r="F134" s="46" t="s">
        <v>457</v>
      </c>
      <c r="J134" s="48">
        <v>649.29999999999995</v>
      </c>
      <c r="K134" s="51">
        <v>2</v>
      </c>
      <c r="L134" s="50" t="s">
        <v>172</v>
      </c>
      <c r="M134" s="51">
        <v>69</v>
      </c>
      <c r="N134" s="51" t="s">
        <v>456</v>
      </c>
      <c r="O134" s="51" t="s">
        <v>166</v>
      </c>
      <c r="P134" s="49"/>
      <c r="Q134" s="48"/>
    </row>
    <row r="135" spans="4:17" ht="16" customHeight="1">
      <c r="E135" s="45"/>
      <c r="J135" s="49">
        <v>541.5</v>
      </c>
      <c r="K135" s="46">
        <v>2</v>
      </c>
      <c r="L135" s="55" t="s">
        <v>402</v>
      </c>
      <c r="M135" s="58" t="s">
        <v>87</v>
      </c>
      <c r="N135" s="46" t="s">
        <v>458</v>
      </c>
      <c r="O135" s="46" t="s">
        <v>166</v>
      </c>
      <c r="P135" s="49"/>
      <c r="Q135" s="48"/>
    </row>
    <row r="136" spans="4:17" ht="16" customHeight="1">
      <c r="E136" s="45">
        <v>8.0000000000000016E-2</v>
      </c>
      <c r="F136" s="46" t="s">
        <v>459</v>
      </c>
      <c r="J136" s="48">
        <v>649.29999999999995</v>
      </c>
      <c r="K136" s="51">
        <v>2</v>
      </c>
      <c r="L136" s="50" t="s">
        <v>172</v>
      </c>
      <c r="M136" s="51">
        <v>70</v>
      </c>
      <c r="N136" s="51" t="s">
        <v>456</v>
      </c>
      <c r="O136" s="51" t="s">
        <v>166</v>
      </c>
      <c r="P136" s="49"/>
      <c r="Q136" s="48"/>
    </row>
    <row r="137" spans="4:17" ht="16" customHeight="1">
      <c r="E137" s="45">
        <v>8.0000000000000016E-2</v>
      </c>
      <c r="F137" s="46" t="s">
        <v>460</v>
      </c>
      <c r="J137" s="48">
        <v>598.29999999999995</v>
      </c>
      <c r="K137" s="51">
        <v>2</v>
      </c>
      <c r="L137" s="50" t="s">
        <v>181</v>
      </c>
      <c r="M137" s="51">
        <v>123</v>
      </c>
      <c r="N137" s="56" t="s">
        <v>461</v>
      </c>
      <c r="O137" s="51" t="s">
        <v>183</v>
      </c>
      <c r="P137" s="49"/>
      <c r="Q137" s="48"/>
    </row>
    <row r="138" spans="4:17" ht="16" customHeight="1">
      <c r="E138" s="45"/>
      <c r="J138" s="48">
        <v>575.79999999999995</v>
      </c>
      <c r="K138" s="51">
        <v>2</v>
      </c>
      <c r="L138" s="50" t="s">
        <v>185</v>
      </c>
      <c r="P138" s="49"/>
      <c r="Q138" s="48"/>
    </row>
    <row r="139" spans="4:17" ht="16" customHeight="1">
      <c r="E139" s="45">
        <v>0.16000000000000003</v>
      </c>
      <c r="F139" s="46" t="s">
        <v>462</v>
      </c>
      <c r="J139" s="48">
        <v>567.79999999999995</v>
      </c>
      <c r="K139" s="51">
        <v>2</v>
      </c>
      <c r="L139" s="50" t="s">
        <v>190</v>
      </c>
      <c r="M139" s="51">
        <v>329</v>
      </c>
      <c r="N139" s="56" t="s">
        <v>461</v>
      </c>
      <c r="O139" s="51" t="s">
        <v>183</v>
      </c>
      <c r="P139" s="49"/>
      <c r="Q139" s="48"/>
    </row>
    <row r="140" spans="4:17" ht="16" customHeight="1">
      <c r="E140" s="45"/>
      <c r="J140" s="48">
        <v>598.29999999999995</v>
      </c>
      <c r="K140" s="51">
        <v>2</v>
      </c>
      <c r="L140" s="50" t="s">
        <v>181</v>
      </c>
      <c r="P140" s="49"/>
      <c r="Q140" s="48"/>
    </row>
    <row r="141" spans="4:17" ht="16" customHeight="1">
      <c r="D141" s="51"/>
      <c r="E141" s="45"/>
      <c r="J141" s="48">
        <v>484.6</v>
      </c>
      <c r="K141" s="51">
        <v>3</v>
      </c>
      <c r="L141" s="50" t="s">
        <v>186</v>
      </c>
      <c r="P141" s="49"/>
      <c r="Q141" s="48"/>
    </row>
    <row r="142" spans="4:17" ht="16" customHeight="1">
      <c r="E142" s="45"/>
      <c r="J142" s="48">
        <v>499.2</v>
      </c>
      <c r="K142" s="51">
        <v>3</v>
      </c>
      <c r="L142" s="50" t="s">
        <v>403</v>
      </c>
      <c r="P142" s="49"/>
      <c r="Q142" s="48"/>
    </row>
    <row r="143" spans="4:17" ht="16" customHeight="1">
      <c r="E143" s="45"/>
      <c r="J143" s="48">
        <v>611.29999999999995</v>
      </c>
      <c r="K143" s="51">
        <v>3</v>
      </c>
      <c r="L143" s="50" t="s">
        <v>187</v>
      </c>
      <c r="P143" s="49"/>
      <c r="Q143" s="48"/>
    </row>
    <row r="144" spans="4:17" ht="16" customHeight="1">
      <c r="E144" s="45"/>
      <c r="J144" s="48">
        <v>584.79999999999995</v>
      </c>
      <c r="K144" s="51">
        <v>2</v>
      </c>
      <c r="L144" s="50" t="s">
        <v>191</v>
      </c>
      <c r="N144" s="56"/>
      <c r="P144" s="49"/>
      <c r="Q144" s="48"/>
    </row>
    <row r="145" spans="4:17" ht="16" customHeight="1">
      <c r="E145" s="45">
        <v>0.16000000000000003</v>
      </c>
      <c r="F145" s="46" t="s">
        <v>463</v>
      </c>
      <c r="J145" s="48">
        <v>567.79999999999995</v>
      </c>
      <c r="K145" s="51">
        <v>2</v>
      </c>
      <c r="L145" s="50" t="s">
        <v>190</v>
      </c>
      <c r="M145" s="51">
        <v>205</v>
      </c>
      <c r="N145" s="56" t="s">
        <v>461</v>
      </c>
      <c r="O145" s="51" t="s">
        <v>183</v>
      </c>
      <c r="P145" s="49"/>
      <c r="Q145" s="48"/>
    </row>
    <row r="146" spans="4:17" ht="16" customHeight="1">
      <c r="E146" s="45"/>
      <c r="J146" s="48">
        <v>598.29999999999995</v>
      </c>
      <c r="K146" s="51">
        <v>2</v>
      </c>
      <c r="L146" s="50" t="s">
        <v>181</v>
      </c>
      <c r="P146" s="49"/>
      <c r="Q146" s="48"/>
    </row>
    <row r="147" spans="4:17" ht="16" customHeight="1">
      <c r="E147" s="45"/>
      <c r="J147" s="48">
        <v>484.6</v>
      </c>
      <c r="K147" s="51">
        <v>3</v>
      </c>
      <c r="L147" s="50" t="s">
        <v>186</v>
      </c>
      <c r="P147" s="49"/>
      <c r="Q147" s="48"/>
    </row>
    <row r="148" spans="4:17" ht="16" customHeight="1">
      <c r="E148" s="45"/>
      <c r="J148" s="48">
        <v>584.79999999999995</v>
      </c>
      <c r="K148" s="51">
        <v>2</v>
      </c>
      <c r="L148" s="50" t="s">
        <v>191</v>
      </c>
      <c r="P148" s="49"/>
      <c r="Q148" s="48"/>
    </row>
    <row r="149" spans="4:17" ht="16" customHeight="1">
      <c r="E149" s="45">
        <v>0.16000000000000003</v>
      </c>
      <c r="F149" s="46" t="s">
        <v>464</v>
      </c>
      <c r="J149" s="48">
        <v>567.79999999999995</v>
      </c>
      <c r="K149" s="51">
        <v>2</v>
      </c>
      <c r="L149" s="50" t="s">
        <v>190</v>
      </c>
      <c r="M149" s="51">
        <v>192</v>
      </c>
      <c r="N149" s="56" t="s">
        <v>461</v>
      </c>
      <c r="O149" s="51" t="s">
        <v>183</v>
      </c>
      <c r="P149" s="49"/>
      <c r="Q149" s="48"/>
    </row>
    <row r="150" spans="4:17" ht="16" customHeight="1">
      <c r="E150" s="45"/>
      <c r="J150" s="48">
        <v>598.29999999999995</v>
      </c>
      <c r="K150" s="51">
        <v>2</v>
      </c>
      <c r="L150" s="50" t="s">
        <v>181</v>
      </c>
      <c r="P150" s="49"/>
      <c r="Q150" s="48"/>
    </row>
    <row r="151" spans="4:17" ht="16" customHeight="1">
      <c r="E151" s="45"/>
      <c r="J151" s="48">
        <v>584.79999999999995</v>
      </c>
      <c r="K151" s="51">
        <v>2</v>
      </c>
      <c r="L151" s="50" t="s">
        <v>191</v>
      </c>
      <c r="P151" s="49"/>
      <c r="Q151" s="48"/>
    </row>
    <row r="152" spans="4:17" ht="16" customHeight="1">
      <c r="E152" s="45">
        <v>8.0000000000000016E-2</v>
      </c>
      <c r="F152" s="46" t="s">
        <v>450</v>
      </c>
      <c r="J152" s="48">
        <v>646.79999999999995</v>
      </c>
      <c r="K152" s="51">
        <v>2</v>
      </c>
      <c r="L152" s="50" t="s">
        <v>300</v>
      </c>
      <c r="M152" s="51">
        <v>209</v>
      </c>
      <c r="N152" s="51" t="s">
        <v>465</v>
      </c>
      <c r="O152" s="51" t="s">
        <v>144</v>
      </c>
      <c r="P152" s="49"/>
      <c r="Q152" s="48"/>
    </row>
    <row r="153" spans="4:17" ht="16" customHeight="1">
      <c r="J153" s="48">
        <v>481.8</v>
      </c>
      <c r="K153" s="51">
        <v>2</v>
      </c>
      <c r="L153" s="50" t="s">
        <v>400</v>
      </c>
      <c r="P153" s="49"/>
      <c r="Q153" s="48"/>
    </row>
    <row r="154" spans="4:17" ht="16" customHeight="1">
      <c r="J154" s="48">
        <v>690.3</v>
      </c>
      <c r="K154" s="51">
        <v>2</v>
      </c>
      <c r="L154" s="50" t="s">
        <v>301</v>
      </c>
      <c r="P154" s="49"/>
      <c r="Q154" s="48"/>
    </row>
    <row r="155" spans="4:17" ht="16" customHeight="1">
      <c r="D155" s="44">
        <v>18</v>
      </c>
      <c r="E155" s="45">
        <v>2.9249999999999998E-2</v>
      </c>
      <c r="F155" s="46" t="s">
        <v>455</v>
      </c>
      <c r="J155" s="48">
        <v>567.79999999999995</v>
      </c>
      <c r="K155" s="51">
        <v>2</v>
      </c>
      <c r="L155" s="50" t="s">
        <v>190</v>
      </c>
      <c r="M155" s="51">
        <v>120</v>
      </c>
      <c r="N155" s="56" t="s">
        <v>461</v>
      </c>
      <c r="O155" s="51" t="s">
        <v>183</v>
      </c>
      <c r="P155" s="49"/>
      <c r="Q155" s="48"/>
    </row>
    <row r="156" spans="4:17" ht="16" customHeight="1">
      <c r="J156" s="48">
        <v>598.29999999999995</v>
      </c>
      <c r="K156" s="51">
        <v>2</v>
      </c>
      <c r="L156" s="50" t="s">
        <v>181</v>
      </c>
      <c r="P156" s="49"/>
      <c r="Q156" s="48"/>
    </row>
    <row r="157" spans="4:17" ht="16" customHeight="1">
      <c r="E157" s="45">
        <v>7.8209491504453964E-3</v>
      </c>
      <c r="F157" s="46" t="s">
        <v>460</v>
      </c>
      <c r="J157" s="48">
        <v>598.29999999999995</v>
      </c>
      <c r="K157" s="51">
        <v>2</v>
      </c>
      <c r="L157" s="50" t="s">
        <v>181</v>
      </c>
      <c r="M157" s="51">
        <v>102</v>
      </c>
      <c r="N157" s="56" t="s">
        <v>466</v>
      </c>
      <c r="O157" s="51" t="s">
        <v>183</v>
      </c>
      <c r="P157" s="49"/>
      <c r="Q157" s="48"/>
    </row>
    <row r="158" spans="4:17" ht="16" customHeight="1">
      <c r="J158" s="48">
        <v>634.29999999999995</v>
      </c>
      <c r="K158" s="51">
        <v>2</v>
      </c>
      <c r="L158" s="50" t="s">
        <v>202</v>
      </c>
      <c r="P158" s="49"/>
      <c r="Q158" s="48"/>
    </row>
    <row r="159" spans="4:17" ht="16" customHeight="1">
      <c r="J159" s="48">
        <v>567.79999999999995</v>
      </c>
      <c r="K159" s="51">
        <v>2</v>
      </c>
      <c r="L159" s="50" t="s">
        <v>190</v>
      </c>
      <c r="M159" s="51">
        <v>96</v>
      </c>
      <c r="N159" s="56" t="s">
        <v>461</v>
      </c>
      <c r="O159" s="51" t="s">
        <v>183</v>
      </c>
      <c r="P159" s="49"/>
      <c r="Q159" s="48"/>
    </row>
    <row r="160" spans="4:17" ht="16" customHeight="1">
      <c r="E160" s="45">
        <v>2.1429050849554602E-2</v>
      </c>
      <c r="F160" s="46" t="s">
        <v>460</v>
      </c>
      <c r="J160" s="48">
        <v>652</v>
      </c>
      <c r="K160" s="51">
        <v>3</v>
      </c>
      <c r="L160" s="50" t="s">
        <v>318</v>
      </c>
      <c r="M160" s="51">
        <v>80</v>
      </c>
      <c r="N160" s="51" t="s">
        <v>467</v>
      </c>
      <c r="O160" s="51" t="s">
        <v>745</v>
      </c>
      <c r="P160" s="49"/>
      <c r="Q160" s="48"/>
    </row>
    <row r="161" spans="5:23" ht="16" customHeight="1">
      <c r="J161" s="48">
        <v>441.8</v>
      </c>
      <c r="K161" s="51">
        <v>4</v>
      </c>
      <c r="L161" s="50" t="s">
        <v>194</v>
      </c>
      <c r="M161" s="51">
        <v>76</v>
      </c>
      <c r="N161" s="51" t="s">
        <v>468</v>
      </c>
      <c r="O161" s="51" t="s">
        <v>745</v>
      </c>
      <c r="P161" s="49"/>
      <c r="Q161" s="48"/>
    </row>
    <row r="162" spans="5:23" ht="16" customHeight="1">
      <c r="E162" s="45">
        <v>0.11699999999999999</v>
      </c>
      <c r="F162" s="46" t="s">
        <v>462</v>
      </c>
      <c r="J162" s="48">
        <v>575.79999999999995</v>
      </c>
      <c r="K162" s="51">
        <v>2</v>
      </c>
      <c r="L162" s="50" t="s">
        <v>185</v>
      </c>
      <c r="M162" s="51">
        <v>167</v>
      </c>
      <c r="N162" s="56" t="s">
        <v>461</v>
      </c>
      <c r="O162" s="51" t="s">
        <v>183</v>
      </c>
      <c r="P162" s="49"/>
      <c r="Q162" s="48"/>
    </row>
    <row r="163" spans="5:23" ht="16" customHeight="1">
      <c r="J163" s="48">
        <v>598.29999999999995</v>
      </c>
      <c r="K163" s="51">
        <v>2</v>
      </c>
      <c r="L163" s="50" t="s">
        <v>181</v>
      </c>
      <c r="P163" s="49"/>
      <c r="Q163" s="48"/>
    </row>
    <row r="164" spans="5:23" ht="16" customHeight="1">
      <c r="J164" s="48">
        <v>584.79999999999995</v>
      </c>
      <c r="K164" s="51">
        <v>2</v>
      </c>
      <c r="L164" s="50" t="s">
        <v>191</v>
      </c>
      <c r="N164" s="56"/>
      <c r="P164" s="49"/>
      <c r="Q164" s="48"/>
    </row>
    <row r="165" spans="5:23" ht="16" customHeight="1">
      <c r="E165" s="45">
        <v>0.11699999999999999</v>
      </c>
      <c r="F165" s="46" t="s">
        <v>463</v>
      </c>
      <c r="J165" s="48">
        <v>567.79999999999995</v>
      </c>
      <c r="K165" s="51">
        <v>2</v>
      </c>
      <c r="L165" s="50" t="s">
        <v>190</v>
      </c>
      <c r="M165" s="51">
        <v>322</v>
      </c>
      <c r="N165" s="56" t="s">
        <v>461</v>
      </c>
      <c r="O165" s="51" t="s">
        <v>183</v>
      </c>
      <c r="P165" s="49"/>
      <c r="Q165" s="48"/>
    </row>
    <row r="166" spans="5:23" ht="16" customHeight="1">
      <c r="J166" s="48">
        <v>598.29999999999995</v>
      </c>
      <c r="K166" s="51">
        <v>2</v>
      </c>
      <c r="L166" s="50" t="s">
        <v>181</v>
      </c>
      <c r="P166" s="49"/>
      <c r="Q166" s="48"/>
    </row>
    <row r="167" spans="5:23" ht="16" customHeight="1">
      <c r="J167" s="48">
        <v>484.6</v>
      </c>
      <c r="K167" s="51">
        <v>3</v>
      </c>
      <c r="L167" s="50" t="s">
        <v>186</v>
      </c>
      <c r="P167" s="49"/>
      <c r="Q167" s="48"/>
    </row>
    <row r="168" spans="5:23" ht="16" customHeight="1">
      <c r="J168" s="48">
        <v>499.2</v>
      </c>
      <c r="K168" s="51">
        <v>3</v>
      </c>
      <c r="L168" s="50" t="s">
        <v>403</v>
      </c>
      <c r="P168" s="49"/>
      <c r="Q168" s="48"/>
    </row>
    <row r="169" spans="5:23" ht="16" customHeight="1">
      <c r="J169" s="48">
        <v>611.29999999999995</v>
      </c>
      <c r="K169" s="51">
        <v>3</v>
      </c>
      <c r="L169" s="50" t="s">
        <v>187</v>
      </c>
      <c r="P169" s="49"/>
      <c r="Q169" s="48"/>
    </row>
    <row r="170" spans="5:23" ht="16" customHeight="1">
      <c r="J170" s="48">
        <v>584.79999999999995</v>
      </c>
      <c r="K170" s="51">
        <v>2</v>
      </c>
      <c r="L170" s="50" t="s">
        <v>191</v>
      </c>
      <c r="N170" s="56"/>
      <c r="P170" s="49"/>
      <c r="Q170" s="48"/>
    </row>
    <row r="171" spans="5:23" ht="16" customHeight="1">
      <c r="E171" s="45">
        <v>0.23399999999999999</v>
      </c>
      <c r="F171" s="46" t="s">
        <v>464</v>
      </c>
      <c r="J171" s="48">
        <v>567.79999999999995</v>
      </c>
      <c r="K171" s="51">
        <v>2</v>
      </c>
      <c r="L171" s="50" t="s">
        <v>190</v>
      </c>
      <c r="M171" s="51">
        <v>176</v>
      </c>
      <c r="N171" s="56" t="s">
        <v>461</v>
      </c>
      <c r="O171" s="51" t="s">
        <v>183</v>
      </c>
      <c r="P171" s="49"/>
      <c r="Q171" s="48"/>
    </row>
    <row r="172" spans="5:23" ht="16" customHeight="1">
      <c r="H172" s="48"/>
      <c r="J172" s="48">
        <v>598.29999999999995</v>
      </c>
      <c r="K172" s="51">
        <v>2</v>
      </c>
      <c r="L172" s="50" t="s">
        <v>181</v>
      </c>
      <c r="P172" s="48"/>
      <c r="Q172" s="48"/>
    </row>
    <row r="173" spans="5:23" ht="16" customHeight="1">
      <c r="H173" s="48"/>
      <c r="J173" s="48">
        <v>499.2</v>
      </c>
      <c r="K173" s="51">
        <v>3</v>
      </c>
      <c r="L173" s="50" t="s">
        <v>403</v>
      </c>
      <c r="P173" s="48"/>
      <c r="Q173" s="48"/>
    </row>
    <row r="174" spans="5:23" ht="16" customHeight="1">
      <c r="J174" s="48">
        <v>584.79999999999995</v>
      </c>
      <c r="K174" s="51">
        <v>2</v>
      </c>
      <c r="L174" s="50" t="s">
        <v>191</v>
      </c>
      <c r="P174" s="49"/>
      <c r="Q174" s="48"/>
    </row>
    <row r="175" spans="5:23" ht="16" customHeight="1">
      <c r="E175" s="45">
        <v>5.8499999999999996E-2</v>
      </c>
      <c r="F175" s="46" t="s">
        <v>450</v>
      </c>
      <c r="H175" s="15">
        <v>13322.21</v>
      </c>
      <c r="I175" s="26">
        <v>13329.2305</v>
      </c>
      <c r="J175" s="48">
        <v>646.79999999999995</v>
      </c>
      <c r="K175" s="51">
        <v>2</v>
      </c>
      <c r="L175" s="50" t="s">
        <v>300</v>
      </c>
      <c r="M175" s="51">
        <v>89</v>
      </c>
      <c r="N175" s="51" t="s">
        <v>465</v>
      </c>
      <c r="O175" s="51" t="s">
        <v>144</v>
      </c>
      <c r="P175" s="49"/>
      <c r="Q175" s="22">
        <v>13328.19</v>
      </c>
      <c r="R175" s="22">
        <v>13334.29</v>
      </c>
      <c r="S175" s="22" t="s">
        <v>966</v>
      </c>
      <c r="T175" s="22" t="s">
        <v>145</v>
      </c>
      <c r="U175" s="85" t="s">
        <v>146</v>
      </c>
      <c r="W175" t="s">
        <v>147</v>
      </c>
    </row>
    <row r="176" spans="5:23" ht="16" customHeight="1">
      <c r="J176" s="48">
        <v>481.8</v>
      </c>
      <c r="K176" s="51">
        <v>2</v>
      </c>
      <c r="L176" s="50" t="s">
        <v>400</v>
      </c>
      <c r="P176" s="49"/>
      <c r="Q176" s="48"/>
    </row>
    <row r="177" spans="4:17" ht="16" customHeight="1">
      <c r="D177" s="44">
        <v>19</v>
      </c>
      <c r="E177" s="45">
        <v>5.9549999999999999E-2</v>
      </c>
      <c r="F177" s="46" t="s">
        <v>455</v>
      </c>
      <c r="J177" s="48">
        <v>649.29999999999995</v>
      </c>
      <c r="K177" s="51">
        <v>2</v>
      </c>
      <c r="L177" s="50" t="s">
        <v>172</v>
      </c>
      <c r="M177" s="51">
        <v>72</v>
      </c>
      <c r="N177" s="51" t="s">
        <v>456</v>
      </c>
      <c r="O177" s="51" t="s">
        <v>166</v>
      </c>
      <c r="P177" s="49"/>
      <c r="Q177" s="48"/>
    </row>
    <row r="178" spans="4:17" ht="16" customHeight="1">
      <c r="J178" s="48">
        <v>637.29999999999995</v>
      </c>
      <c r="K178" s="51">
        <v>3</v>
      </c>
      <c r="L178" s="50" t="s">
        <v>404</v>
      </c>
      <c r="M178" s="56" t="s">
        <v>87</v>
      </c>
      <c r="N178" s="51" t="s">
        <v>469</v>
      </c>
      <c r="O178" s="51" t="s">
        <v>166</v>
      </c>
      <c r="P178" s="49"/>
      <c r="Q178" s="48"/>
    </row>
    <row r="179" spans="4:17" ht="16" customHeight="1">
      <c r="J179" s="48">
        <v>728.4</v>
      </c>
      <c r="K179" s="51">
        <v>2</v>
      </c>
      <c r="L179" s="50" t="s">
        <v>405</v>
      </c>
      <c r="M179" s="56" t="s">
        <v>87</v>
      </c>
      <c r="N179" s="51" t="s">
        <v>470</v>
      </c>
      <c r="O179" s="51" t="s">
        <v>166</v>
      </c>
      <c r="P179" s="49"/>
      <c r="Q179" s="48"/>
    </row>
    <row r="180" spans="4:17" ht="16" customHeight="1">
      <c r="E180" s="45">
        <v>2.4182224427045984E-2</v>
      </c>
      <c r="F180" s="46" t="s">
        <v>460</v>
      </c>
      <c r="J180" s="48">
        <v>567.79999999999995</v>
      </c>
      <c r="K180" s="51">
        <v>2</v>
      </c>
      <c r="L180" s="50" t="s">
        <v>190</v>
      </c>
      <c r="M180" s="51">
        <v>176</v>
      </c>
      <c r="N180" s="56" t="s">
        <v>461</v>
      </c>
      <c r="O180" s="51" t="s">
        <v>183</v>
      </c>
      <c r="P180" s="49"/>
      <c r="Q180" s="48"/>
    </row>
    <row r="181" spans="4:17" ht="16" customHeight="1">
      <c r="J181" s="48">
        <v>598.29999999999995</v>
      </c>
      <c r="K181" s="51">
        <v>2</v>
      </c>
      <c r="L181" s="50" t="s">
        <v>181</v>
      </c>
      <c r="P181" s="49"/>
      <c r="Q181" s="48"/>
    </row>
    <row r="182" spans="4:17" ht="16" customHeight="1">
      <c r="J182" s="48">
        <v>584.79999999999995</v>
      </c>
      <c r="K182" s="51">
        <v>2</v>
      </c>
      <c r="L182" s="50" t="s">
        <v>191</v>
      </c>
      <c r="P182" s="49"/>
      <c r="Q182" s="48"/>
    </row>
    <row r="183" spans="4:17" ht="16" customHeight="1">
      <c r="E183" s="45">
        <v>3.5367775572954015E-2</v>
      </c>
      <c r="F183" s="46" t="s">
        <v>460</v>
      </c>
      <c r="J183" s="48">
        <v>487.2</v>
      </c>
      <c r="K183" s="51">
        <v>2</v>
      </c>
      <c r="L183" s="50" t="s">
        <v>125</v>
      </c>
      <c r="M183" s="51">
        <v>146</v>
      </c>
      <c r="N183" s="51" t="s">
        <v>471</v>
      </c>
      <c r="O183" s="51" t="s">
        <v>298</v>
      </c>
      <c r="P183" s="49"/>
      <c r="Q183" s="48"/>
    </row>
    <row r="184" spans="4:17" ht="16" customHeight="1">
      <c r="J184" s="48">
        <v>916.9</v>
      </c>
      <c r="K184" s="51">
        <v>2</v>
      </c>
      <c r="L184" s="50" t="s">
        <v>113</v>
      </c>
      <c r="P184" s="49"/>
      <c r="Q184" s="48"/>
    </row>
    <row r="185" spans="4:17" ht="16" customHeight="1">
      <c r="D185" s="51"/>
      <c r="E185" s="45">
        <v>0.42876000000000003</v>
      </c>
      <c r="F185" s="46" t="s">
        <v>462</v>
      </c>
      <c r="J185" s="48">
        <v>567.79999999999995</v>
      </c>
      <c r="K185" s="51">
        <v>2</v>
      </c>
      <c r="L185" s="50" t="s">
        <v>190</v>
      </c>
      <c r="M185" s="51">
        <v>195</v>
      </c>
      <c r="N185" s="56" t="s">
        <v>461</v>
      </c>
      <c r="O185" s="51" t="s">
        <v>183</v>
      </c>
      <c r="P185" s="49"/>
      <c r="Q185" s="48"/>
    </row>
    <row r="186" spans="4:17" ht="16" customHeight="1">
      <c r="J186" s="48">
        <v>598.29999999999995</v>
      </c>
      <c r="K186" s="51">
        <v>2</v>
      </c>
      <c r="L186" s="50" t="s">
        <v>181</v>
      </c>
      <c r="P186" s="49"/>
      <c r="Q186" s="48"/>
    </row>
    <row r="187" spans="4:17" ht="16" customHeight="1">
      <c r="J187" s="48">
        <v>484.6</v>
      </c>
      <c r="K187" s="51">
        <v>3</v>
      </c>
      <c r="L187" s="50" t="s">
        <v>186</v>
      </c>
      <c r="P187" s="49"/>
      <c r="Q187" s="48"/>
    </row>
    <row r="188" spans="4:17" ht="16" customHeight="1">
      <c r="J188" s="48">
        <v>584.79999999999995</v>
      </c>
      <c r="K188" s="51">
        <v>2</v>
      </c>
      <c r="L188" s="50" t="s">
        <v>191</v>
      </c>
      <c r="P188" s="49"/>
      <c r="Q188" s="48"/>
    </row>
    <row r="189" spans="4:17" ht="16" customHeight="1">
      <c r="E189" s="45">
        <v>0.42876000000000003</v>
      </c>
      <c r="F189" s="46" t="s">
        <v>463</v>
      </c>
      <c r="J189" s="48">
        <v>567.79999999999995</v>
      </c>
      <c r="K189" s="51">
        <v>2</v>
      </c>
      <c r="L189" s="50" t="s">
        <v>190</v>
      </c>
      <c r="M189" s="51">
        <v>164</v>
      </c>
      <c r="N189" s="56" t="s">
        <v>461</v>
      </c>
      <c r="O189" s="51" t="s">
        <v>183</v>
      </c>
      <c r="P189" s="49"/>
      <c r="Q189" s="48"/>
    </row>
    <row r="190" spans="4:17" ht="16" customHeight="1">
      <c r="J190" s="48">
        <v>598.29999999999995</v>
      </c>
      <c r="K190" s="51">
        <v>2</v>
      </c>
      <c r="L190" s="50" t="s">
        <v>181</v>
      </c>
      <c r="P190" s="49"/>
      <c r="Q190" s="48"/>
    </row>
    <row r="191" spans="4:17" ht="16" customHeight="1">
      <c r="J191" s="48">
        <v>611.29999999999995</v>
      </c>
      <c r="K191" s="51">
        <v>3</v>
      </c>
      <c r="L191" s="50" t="s">
        <v>187</v>
      </c>
      <c r="P191" s="49"/>
      <c r="Q191" s="48"/>
    </row>
    <row r="192" spans="4:17" ht="16" customHeight="1">
      <c r="J192" s="48">
        <v>584.79999999999995</v>
      </c>
      <c r="K192" s="51">
        <v>2</v>
      </c>
      <c r="L192" s="50" t="s">
        <v>191</v>
      </c>
      <c r="P192" s="49"/>
      <c r="Q192" s="48"/>
    </row>
    <row r="193" spans="4:17" ht="16" customHeight="1">
      <c r="E193" s="45">
        <v>5.9549999999999999E-2</v>
      </c>
      <c r="F193" s="46" t="s">
        <v>464</v>
      </c>
      <c r="J193" s="48">
        <v>567.79999999999995</v>
      </c>
      <c r="K193" s="51">
        <v>2</v>
      </c>
      <c r="L193" s="50" t="s">
        <v>190</v>
      </c>
      <c r="M193" s="51">
        <v>248</v>
      </c>
      <c r="N193" s="56" t="s">
        <v>461</v>
      </c>
      <c r="O193" s="51" t="s">
        <v>183</v>
      </c>
      <c r="P193" s="49"/>
      <c r="Q193" s="48"/>
    </row>
    <row r="194" spans="4:17" ht="16" customHeight="1">
      <c r="J194" s="48">
        <v>598.29999999999995</v>
      </c>
      <c r="K194" s="51">
        <v>2</v>
      </c>
      <c r="L194" s="50" t="s">
        <v>181</v>
      </c>
      <c r="P194" s="49"/>
      <c r="Q194" s="48"/>
    </row>
    <row r="195" spans="4:17" ht="16" customHeight="1">
      <c r="J195" s="48">
        <v>611.29999999999995</v>
      </c>
      <c r="K195" s="51">
        <v>3</v>
      </c>
      <c r="L195" s="50" t="s">
        <v>187</v>
      </c>
      <c r="P195" s="49"/>
      <c r="Q195" s="48"/>
    </row>
    <row r="196" spans="4:17" ht="16" customHeight="1">
      <c r="J196" s="48">
        <v>584.79999999999995</v>
      </c>
      <c r="K196" s="51">
        <v>2</v>
      </c>
      <c r="L196" s="50" t="s">
        <v>191</v>
      </c>
      <c r="P196" s="49"/>
      <c r="Q196" s="48"/>
    </row>
    <row r="197" spans="4:17" ht="16" customHeight="1">
      <c r="J197" s="48">
        <v>918.8</v>
      </c>
      <c r="K197" s="51">
        <v>3</v>
      </c>
      <c r="L197" s="50" t="s">
        <v>184</v>
      </c>
      <c r="P197" s="49"/>
      <c r="Q197" s="48"/>
    </row>
    <row r="198" spans="4:17" ht="16" customHeight="1">
      <c r="E198" s="45">
        <v>5.9549999999999999E-2</v>
      </c>
      <c r="F198" s="46" t="s">
        <v>472</v>
      </c>
      <c r="J198" s="48">
        <v>567.79999999999995</v>
      </c>
      <c r="K198" s="51">
        <v>2</v>
      </c>
      <c r="L198" s="50" t="s">
        <v>190</v>
      </c>
      <c r="M198" s="51">
        <v>228</v>
      </c>
      <c r="N198" s="56" t="s">
        <v>461</v>
      </c>
      <c r="O198" s="51" t="s">
        <v>183</v>
      </c>
      <c r="P198" s="49"/>
      <c r="Q198" s="48"/>
    </row>
    <row r="199" spans="4:17" ht="16" customHeight="1">
      <c r="J199" s="48">
        <v>598.29999999999995</v>
      </c>
      <c r="K199" s="51">
        <v>2</v>
      </c>
      <c r="L199" s="50" t="s">
        <v>181</v>
      </c>
      <c r="P199" s="49"/>
      <c r="Q199" s="48"/>
    </row>
    <row r="200" spans="4:17" ht="16" customHeight="1">
      <c r="J200" s="48">
        <v>484.6</v>
      </c>
      <c r="K200" s="51">
        <v>3</v>
      </c>
      <c r="L200" s="50" t="s">
        <v>186</v>
      </c>
      <c r="P200" s="49"/>
      <c r="Q200" s="48"/>
    </row>
    <row r="201" spans="4:17" ht="16" customHeight="1">
      <c r="J201" s="48">
        <v>584.79999999999995</v>
      </c>
      <c r="K201" s="51">
        <v>2</v>
      </c>
      <c r="L201" s="50" t="s">
        <v>191</v>
      </c>
      <c r="P201" s="49"/>
      <c r="Q201" s="48"/>
    </row>
    <row r="202" spans="4:17" ht="16" customHeight="1">
      <c r="J202" s="48">
        <v>918.8</v>
      </c>
      <c r="K202" s="51">
        <v>3</v>
      </c>
      <c r="L202" s="50" t="s">
        <v>184</v>
      </c>
      <c r="P202" s="49"/>
      <c r="Q202" s="48"/>
    </row>
    <row r="203" spans="4:17" ht="16" customHeight="1">
      <c r="E203" s="45">
        <v>9.5280000000000004E-2</v>
      </c>
      <c r="F203" s="46" t="s">
        <v>450</v>
      </c>
      <c r="J203" s="48">
        <v>598.29999999999995</v>
      </c>
      <c r="K203" s="51">
        <v>2</v>
      </c>
      <c r="L203" s="50" t="s">
        <v>181</v>
      </c>
      <c r="M203" s="51">
        <v>95</v>
      </c>
      <c r="N203" s="56" t="s">
        <v>466</v>
      </c>
      <c r="O203" s="51" t="s">
        <v>183</v>
      </c>
      <c r="P203" s="49"/>
      <c r="Q203" s="48"/>
    </row>
    <row r="204" spans="4:17" ht="16" customHeight="1">
      <c r="J204" s="48">
        <v>634.29999999999995</v>
      </c>
      <c r="K204" s="51">
        <v>2</v>
      </c>
      <c r="L204" s="50" t="s">
        <v>202</v>
      </c>
      <c r="P204" s="49"/>
      <c r="Q204" s="48"/>
    </row>
    <row r="205" spans="4:17" ht="16" customHeight="1">
      <c r="D205" s="44">
        <v>20</v>
      </c>
      <c r="E205" s="45">
        <v>1.2253785201443397</v>
      </c>
      <c r="F205" s="46" t="s">
        <v>473</v>
      </c>
      <c r="J205" s="48">
        <v>567.79999999999995</v>
      </c>
      <c r="K205" s="51">
        <v>2</v>
      </c>
      <c r="L205" s="50" t="s">
        <v>190</v>
      </c>
      <c r="M205" s="51">
        <v>349</v>
      </c>
      <c r="N205" s="56" t="s">
        <v>461</v>
      </c>
      <c r="O205" s="51" t="s">
        <v>183</v>
      </c>
      <c r="P205" s="49"/>
      <c r="Q205" s="48"/>
    </row>
    <row r="206" spans="4:17" ht="16" customHeight="1">
      <c r="E206" s="45"/>
      <c r="I206" s="49"/>
      <c r="J206" s="48">
        <v>598.29999999999995</v>
      </c>
      <c r="K206" s="51">
        <v>2</v>
      </c>
      <c r="L206" s="50" t="s">
        <v>181</v>
      </c>
      <c r="P206" s="49"/>
      <c r="Q206" s="48"/>
    </row>
    <row r="207" spans="4:17" ht="16" customHeight="1">
      <c r="E207" s="45"/>
      <c r="I207" s="49"/>
      <c r="J207" s="48">
        <v>484.6</v>
      </c>
      <c r="K207" s="51">
        <v>3</v>
      </c>
      <c r="L207" s="50" t="s">
        <v>186</v>
      </c>
      <c r="P207" s="49"/>
      <c r="Q207" s="3"/>
    </row>
    <row r="208" spans="4:17" ht="16" customHeight="1">
      <c r="E208" s="45"/>
      <c r="J208" s="48">
        <v>584.79999999999995</v>
      </c>
      <c r="K208" s="51">
        <v>2</v>
      </c>
      <c r="L208" s="50" t="s">
        <v>191</v>
      </c>
      <c r="P208" s="49"/>
      <c r="Q208" s="3"/>
    </row>
    <row r="209" spans="5:17" ht="16" customHeight="1">
      <c r="E209" s="45"/>
      <c r="J209" s="48">
        <v>442.6</v>
      </c>
      <c r="K209" s="51">
        <v>3</v>
      </c>
      <c r="L209" s="50" t="s">
        <v>406</v>
      </c>
      <c r="P209" s="49"/>
      <c r="Q209" s="48"/>
    </row>
    <row r="210" spans="5:17" ht="16" customHeight="1">
      <c r="E210" s="45"/>
      <c r="J210" s="48">
        <v>611.29999999999995</v>
      </c>
      <c r="K210" s="51">
        <v>3</v>
      </c>
      <c r="L210" s="50" t="s">
        <v>187</v>
      </c>
      <c r="P210" s="49"/>
      <c r="Q210" s="48"/>
    </row>
    <row r="211" spans="5:17" ht="16" customHeight="1">
      <c r="E211" s="45"/>
      <c r="J211" s="48">
        <v>918.8</v>
      </c>
      <c r="K211" s="51">
        <v>3</v>
      </c>
      <c r="L211" s="50" t="s">
        <v>184</v>
      </c>
      <c r="P211" s="49"/>
      <c r="Q211" s="48"/>
    </row>
    <row r="212" spans="5:17" ht="16" customHeight="1">
      <c r="E212" s="45">
        <v>6.1268926007216988</v>
      </c>
      <c r="F212" s="46" t="s">
        <v>337</v>
      </c>
      <c r="J212" s="48">
        <v>567.79999999999995</v>
      </c>
      <c r="K212" s="51">
        <v>2</v>
      </c>
      <c r="L212" s="50" t="s">
        <v>190</v>
      </c>
      <c r="M212" s="51">
        <v>377</v>
      </c>
      <c r="N212" s="56" t="s">
        <v>461</v>
      </c>
      <c r="O212" s="51" t="s">
        <v>183</v>
      </c>
      <c r="P212" s="49"/>
      <c r="Q212" s="48"/>
    </row>
    <row r="213" spans="5:17" ht="16" customHeight="1">
      <c r="E213" s="45"/>
      <c r="J213" s="48">
        <v>598.29999999999995</v>
      </c>
      <c r="K213" s="51">
        <v>2</v>
      </c>
      <c r="L213" s="50" t="s">
        <v>181</v>
      </c>
      <c r="P213" s="49"/>
      <c r="Q213" s="48"/>
    </row>
    <row r="214" spans="5:17" ht="16" customHeight="1">
      <c r="E214" s="45"/>
      <c r="J214" s="48">
        <v>484.6</v>
      </c>
      <c r="K214" s="51">
        <v>3</v>
      </c>
      <c r="L214" s="50" t="s">
        <v>186</v>
      </c>
      <c r="P214" s="49"/>
      <c r="Q214" s="48"/>
    </row>
    <row r="215" spans="5:17" ht="16" customHeight="1">
      <c r="E215" s="45"/>
      <c r="J215" s="48">
        <v>584.79999999999995</v>
      </c>
      <c r="K215" s="51">
        <v>2</v>
      </c>
      <c r="L215" s="50" t="s">
        <v>191</v>
      </c>
      <c r="P215" s="49"/>
      <c r="Q215" s="48"/>
    </row>
    <row r="216" spans="5:17" ht="16" customHeight="1">
      <c r="E216" s="45"/>
      <c r="J216" s="48">
        <v>442.6</v>
      </c>
      <c r="K216" s="51">
        <v>3</v>
      </c>
      <c r="L216" s="50" t="s">
        <v>406</v>
      </c>
      <c r="P216" s="49"/>
      <c r="Q216" s="48"/>
    </row>
    <row r="217" spans="5:17" ht="16" customHeight="1">
      <c r="E217" s="45"/>
      <c r="J217" s="48">
        <v>611.29999999999995</v>
      </c>
      <c r="K217" s="51">
        <v>3</v>
      </c>
      <c r="L217" s="50" t="s">
        <v>187</v>
      </c>
      <c r="P217" s="49"/>
      <c r="Q217" s="48"/>
    </row>
    <row r="218" spans="5:17" ht="16" customHeight="1">
      <c r="E218" s="45"/>
      <c r="J218" s="48">
        <v>918.8</v>
      </c>
      <c r="K218" s="51">
        <v>3</v>
      </c>
      <c r="L218" s="50" t="s">
        <v>184</v>
      </c>
      <c r="P218" s="49"/>
      <c r="Q218" s="48"/>
    </row>
    <row r="219" spans="5:17" ht="16" customHeight="1">
      <c r="E219" s="45">
        <v>4.9015140805773587</v>
      </c>
      <c r="F219" s="46" t="s">
        <v>474</v>
      </c>
      <c r="I219" s="48">
        <v>24898</v>
      </c>
      <c r="J219" s="48">
        <v>567.79999999999995</v>
      </c>
      <c r="K219" s="51">
        <v>2</v>
      </c>
      <c r="L219" s="50" t="s">
        <v>190</v>
      </c>
      <c r="M219" s="51">
        <v>356</v>
      </c>
      <c r="N219" s="56" t="s">
        <v>461</v>
      </c>
      <c r="O219" s="51" t="s">
        <v>183</v>
      </c>
      <c r="P219" s="49"/>
      <c r="Q219" s="48"/>
    </row>
    <row r="220" spans="5:17" ht="16" customHeight="1">
      <c r="E220" s="45"/>
      <c r="J220" s="48">
        <v>598.29999999999995</v>
      </c>
      <c r="K220" s="51">
        <v>2</v>
      </c>
      <c r="L220" s="50" t="s">
        <v>181</v>
      </c>
      <c r="P220" s="49"/>
      <c r="Q220" s="48"/>
    </row>
    <row r="221" spans="5:17" ht="16" customHeight="1">
      <c r="E221" s="45"/>
      <c r="J221" s="48">
        <v>484.6</v>
      </c>
      <c r="K221" s="51">
        <v>3</v>
      </c>
      <c r="L221" s="50" t="s">
        <v>186</v>
      </c>
      <c r="P221" s="49"/>
      <c r="Q221" s="48"/>
    </row>
    <row r="222" spans="5:17" ht="16" customHeight="1">
      <c r="E222" s="45"/>
      <c r="J222" s="48">
        <v>584.79999999999995</v>
      </c>
      <c r="K222" s="51">
        <v>2</v>
      </c>
      <c r="L222" s="50" t="s">
        <v>191</v>
      </c>
      <c r="P222" s="49"/>
      <c r="Q222" s="48"/>
    </row>
    <row r="223" spans="5:17" ht="16" customHeight="1">
      <c r="E223" s="45"/>
      <c r="J223" s="48">
        <v>611.29999999999995</v>
      </c>
      <c r="K223" s="51">
        <v>3</v>
      </c>
      <c r="L223" s="50" t="s">
        <v>187</v>
      </c>
      <c r="P223" s="49"/>
      <c r="Q223" s="48"/>
    </row>
    <row r="224" spans="5:17" ht="16" customHeight="1">
      <c r="E224" s="45"/>
      <c r="J224" s="48">
        <v>918.8</v>
      </c>
      <c r="K224" s="51">
        <v>3</v>
      </c>
      <c r="L224" s="50" t="s">
        <v>184</v>
      </c>
      <c r="P224" s="49"/>
      <c r="Q224" s="48"/>
    </row>
    <row r="225" spans="4:17" ht="16" customHeight="1">
      <c r="E225" s="45"/>
      <c r="J225" s="48">
        <v>634.29999999999995</v>
      </c>
      <c r="K225" s="51">
        <v>2</v>
      </c>
      <c r="L225" s="50" t="s">
        <v>202</v>
      </c>
      <c r="M225" s="51">
        <v>205</v>
      </c>
      <c r="N225" s="56" t="s">
        <v>466</v>
      </c>
      <c r="O225" s="51" t="s">
        <v>183</v>
      </c>
      <c r="P225" s="49"/>
      <c r="Q225" s="48"/>
    </row>
    <row r="226" spans="4:17" ht="16" customHeight="1">
      <c r="D226" s="44">
        <v>21</v>
      </c>
      <c r="E226" s="45">
        <v>0.41462147985566011</v>
      </c>
      <c r="F226" s="46" t="s">
        <v>475</v>
      </c>
      <c r="J226" s="48">
        <v>649.29999999999995</v>
      </c>
      <c r="K226" s="51">
        <v>2</v>
      </c>
      <c r="L226" s="50" t="s">
        <v>172</v>
      </c>
      <c r="M226" s="51">
        <v>74</v>
      </c>
      <c r="N226" s="51" t="s">
        <v>456</v>
      </c>
      <c r="O226" s="51" t="s">
        <v>166</v>
      </c>
      <c r="P226" s="49"/>
      <c r="Q226" s="48"/>
    </row>
    <row r="227" spans="4:17" ht="16" customHeight="1">
      <c r="E227" s="45"/>
      <c r="J227" s="48">
        <v>637.29999999999995</v>
      </c>
      <c r="K227" s="51">
        <v>3</v>
      </c>
      <c r="L227" s="50" t="s">
        <v>404</v>
      </c>
      <c r="M227" s="56" t="s">
        <v>87</v>
      </c>
      <c r="N227" s="51" t="s">
        <v>469</v>
      </c>
      <c r="O227" s="51" t="s">
        <v>166</v>
      </c>
      <c r="P227" s="49"/>
      <c r="Q227" s="48"/>
    </row>
    <row r="228" spans="4:17" ht="16" customHeight="1">
      <c r="E228" s="45"/>
      <c r="J228" s="48">
        <v>487.3</v>
      </c>
      <c r="K228" s="51">
        <v>2</v>
      </c>
      <c r="L228" s="50" t="s">
        <v>306</v>
      </c>
      <c r="M228" s="56" t="s">
        <v>87</v>
      </c>
      <c r="N228" s="51" t="s">
        <v>476</v>
      </c>
      <c r="O228" s="51" t="s">
        <v>166</v>
      </c>
      <c r="P228" s="49"/>
      <c r="Q228" s="48"/>
    </row>
    <row r="229" spans="4:17" ht="16" customHeight="1">
      <c r="E229" s="45"/>
      <c r="J229" s="48">
        <v>626.29999999999995</v>
      </c>
      <c r="K229" s="51">
        <v>2</v>
      </c>
      <c r="L229" s="50" t="s">
        <v>407</v>
      </c>
      <c r="M229" s="56" t="s">
        <v>87</v>
      </c>
      <c r="N229" s="51" t="s">
        <v>477</v>
      </c>
      <c r="O229" s="51" t="s">
        <v>166</v>
      </c>
      <c r="P229" s="49"/>
      <c r="Q229" s="48"/>
    </row>
    <row r="230" spans="4:17" ht="16" customHeight="1">
      <c r="E230" s="45">
        <v>0.41462147985566011</v>
      </c>
      <c r="F230" s="46" t="s">
        <v>365</v>
      </c>
      <c r="J230" s="48">
        <v>736.8</v>
      </c>
      <c r="K230" s="51">
        <v>2</v>
      </c>
      <c r="L230" s="50" t="s">
        <v>216</v>
      </c>
      <c r="M230" s="56" t="s">
        <v>87</v>
      </c>
      <c r="N230" s="51" t="s">
        <v>478</v>
      </c>
      <c r="O230" s="51" t="s">
        <v>166</v>
      </c>
      <c r="P230" s="49"/>
      <c r="Q230" s="48"/>
    </row>
    <row r="231" spans="4:17" ht="16" customHeight="1">
      <c r="E231" s="45"/>
      <c r="J231" s="48">
        <v>637.29999999999995</v>
      </c>
      <c r="K231" s="51">
        <v>3</v>
      </c>
      <c r="L231" s="50" t="s">
        <v>404</v>
      </c>
      <c r="M231" s="56" t="s">
        <v>87</v>
      </c>
      <c r="N231" s="51" t="s">
        <v>469</v>
      </c>
      <c r="O231" s="51" t="s">
        <v>166</v>
      </c>
      <c r="P231" s="49"/>
      <c r="Q231" s="48"/>
    </row>
    <row r="232" spans="4:17" ht="16" customHeight="1">
      <c r="E232" s="45"/>
      <c r="J232" s="48">
        <v>487.3</v>
      </c>
      <c r="K232" s="51">
        <v>2</v>
      </c>
      <c r="L232" s="50" t="s">
        <v>306</v>
      </c>
      <c r="M232" s="56" t="s">
        <v>87</v>
      </c>
      <c r="N232" s="51" t="s">
        <v>476</v>
      </c>
      <c r="O232" s="51" t="s">
        <v>166</v>
      </c>
      <c r="P232" s="49"/>
      <c r="Q232" s="48"/>
    </row>
    <row r="233" spans="4:17" ht="16" customHeight="1">
      <c r="E233" s="45"/>
      <c r="J233" s="48">
        <v>626.29999999999995</v>
      </c>
      <c r="K233" s="51">
        <v>2</v>
      </c>
      <c r="L233" s="50" t="s">
        <v>407</v>
      </c>
      <c r="M233" s="56" t="s">
        <v>87</v>
      </c>
      <c r="N233" s="51" t="s">
        <v>477</v>
      </c>
      <c r="O233" s="51" t="s">
        <v>166</v>
      </c>
      <c r="P233" s="49"/>
      <c r="Q233" s="48"/>
    </row>
    <row r="234" spans="4:17" ht="16" customHeight="1">
      <c r="E234" s="45">
        <v>0.41462147985566011</v>
      </c>
      <c r="F234" s="46" t="s">
        <v>473</v>
      </c>
      <c r="J234" s="48">
        <v>567.79999999999995</v>
      </c>
      <c r="K234" s="51">
        <v>2</v>
      </c>
      <c r="L234" s="50" t="s">
        <v>190</v>
      </c>
      <c r="M234" s="51">
        <v>176</v>
      </c>
      <c r="N234" s="56" t="s">
        <v>461</v>
      </c>
      <c r="O234" s="51" t="s">
        <v>183</v>
      </c>
      <c r="P234" s="49"/>
      <c r="Q234" s="48"/>
    </row>
    <row r="235" spans="4:17" ht="16" customHeight="1">
      <c r="E235" s="45"/>
      <c r="J235" s="48">
        <v>598.29999999999995</v>
      </c>
      <c r="K235" s="51">
        <v>2</v>
      </c>
      <c r="L235" s="50" t="s">
        <v>181</v>
      </c>
      <c r="P235" s="49"/>
      <c r="Q235" s="48"/>
    </row>
    <row r="236" spans="4:17" ht="16" customHeight="1">
      <c r="E236" s="45"/>
      <c r="J236" s="48">
        <v>484.6</v>
      </c>
      <c r="K236" s="51">
        <v>3</v>
      </c>
      <c r="L236" s="50" t="s">
        <v>186</v>
      </c>
      <c r="P236" s="49"/>
      <c r="Q236" s="48"/>
    </row>
    <row r="237" spans="4:17" ht="16" customHeight="1">
      <c r="E237" s="45"/>
      <c r="J237" s="48">
        <v>584.79999999999995</v>
      </c>
      <c r="K237" s="51">
        <v>2</v>
      </c>
      <c r="L237" s="50" t="s">
        <v>191</v>
      </c>
      <c r="P237" s="49"/>
      <c r="Q237" s="48"/>
    </row>
    <row r="238" spans="4:17" ht="16" customHeight="1">
      <c r="E238" s="45"/>
      <c r="J238" s="48">
        <v>611.29999999999995</v>
      </c>
      <c r="K238" s="51">
        <v>3</v>
      </c>
      <c r="L238" s="50" t="s">
        <v>187</v>
      </c>
      <c r="P238" s="49"/>
      <c r="Q238" s="48"/>
    </row>
    <row r="239" spans="4:17" ht="16" customHeight="1">
      <c r="D239" s="51"/>
      <c r="E239" s="45">
        <v>0.82924295971132023</v>
      </c>
      <c r="F239" s="46" t="s">
        <v>337</v>
      </c>
      <c r="J239" s="48">
        <v>567.79999999999995</v>
      </c>
      <c r="K239" s="51">
        <v>2</v>
      </c>
      <c r="L239" s="50" t="s">
        <v>190</v>
      </c>
      <c r="M239" s="51">
        <v>257</v>
      </c>
      <c r="N239" s="56" t="s">
        <v>461</v>
      </c>
      <c r="O239" s="51" t="s">
        <v>183</v>
      </c>
      <c r="P239" s="49"/>
      <c r="Q239" s="48"/>
    </row>
    <row r="240" spans="4:17" ht="16" customHeight="1">
      <c r="D240" s="51"/>
      <c r="E240" s="45"/>
      <c r="J240" s="48">
        <v>598.29999999999995</v>
      </c>
      <c r="K240" s="51">
        <v>2</v>
      </c>
      <c r="L240" s="50" t="s">
        <v>181</v>
      </c>
      <c r="P240" s="49"/>
      <c r="Q240" s="48"/>
    </row>
    <row r="241" spans="4:17" ht="16" customHeight="1">
      <c r="E241" s="45"/>
      <c r="J241" s="48">
        <v>584.79999999999995</v>
      </c>
      <c r="K241" s="51">
        <v>2</v>
      </c>
      <c r="L241" s="50" t="s">
        <v>191</v>
      </c>
      <c r="P241" s="49"/>
      <c r="Q241" s="48"/>
    </row>
    <row r="242" spans="4:17" ht="16" customHeight="1">
      <c r="E242" s="45">
        <v>2.0731073992783</v>
      </c>
      <c r="F242" s="46" t="s">
        <v>474</v>
      </c>
      <c r="I242" s="48">
        <v>25021</v>
      </c>
      <c r="J242" s="48">
        <v>567.79999999999995</v>
      </c>
      <c r="K242" s="51">
        <v>2</v>
      </c>
      <c r="L242" s="50" t="s">
        <v>190</v>
      </c>
      <c r="M242" s="51">
        <v>366</v>
      </c>
      <c r="N242" s="56" t="s">
        <v>461</v>
      </c>
      <c r="O242" s="51" t="s">
        <v>183</v>
      </c>
      <c r="P242" s="49"/>
      <c r="Q242" s="48"/>
    </row>
    <row r="243" spans="4:17" ht="16" customHeight="1">
      <c r="E243" s="45"/>
      <c r="J243" s="48">
        <v>598.29999999999995</v>
      </c>
      <c r="K243" s="51">
        <v>2</v>
      </c>
      <c r="L243" s="50" t="s">
        <v>181</v>
      </c>
      <c r="Q243" s="48"/>
    </row>
    <row r="244" spans="4:17" ht="16" customHeight="1">
      <c r="F244" s="51"/>
      <c r="J244" s="48">
        <v>484.6</v>
      </c>
      <c r="K244" s="51">
        <v>3</v>
      </c>
      <c r="L244" s="50" t="s">
        <v>186</v>
      </c>
    </row>
    <row r="245" spans="4:17" ht="16" customHeight="1">
      <c r="J245" s="48">
        <v>584.79999999999995</v>
      </c>
      <c r="K245" s="51">
        <v>2</v>
      </c>
      <c r="L245" s="50" t="s">
        <v>191</v>
      </c>
    </row>
    <row r="246" spans="4:17" ht="16" customHeight="1">
      <c r="D246" s="51"/>
      <c r="J246" s="48">
        <v>611.29999999999995</v>
      </c>
      <c r="K246" s="51">
        <v>3</v>
      </c>
      <c r="L246" s="50" t="s">
        <v>187</v>
      </c>
    </row>
    <row r="247" spans="4:17" ht="16" customHeight="1">
      <c r="J247" s="48">
        <v>918.8</v>
      </c>
      <c r="K247" s="51">
        <v>3</v>
      </c>
      <c r="L247" s="50" t="s">
        <v>184</v>
      </c>
    </row>
    <row r="248" spans="4:17" ht="16" customHeight="1">
      <c r="J248" s="48">
        <v>634.29999999999995</v>
      </c>
      <c r="K248" s="51">
        <v>2</v>
      </c>
      <c r="L248" s="50" t="s">
        <v>202</v>
      </c>
      <c r="M248" s="51">
        <v>211</v>
      </c>
      <c r="N248" s="56" t="s">
        <v>466</v>
      </c>
      <c r="O248" s="51" t="s">
        <v>183</v>
      </c>
    </row>
    <row r="249" spans="4:17" ht="16" customHeight="1">
      <c r="D249" s="44">
        <v>22</v>
      </c>
      <c r="E249" s="59">
        <v>0.12934000000000001</v>
      </c>
      <c r="F249" s="46" t="s">
        <v>354</v>
      </c>
      <c r="J249" s="48">
        <v>554.79999999999995</v>
      </c>
      <c r="K249" s="51">
        <v>2</v>
      </c>
      <c r="L249" s="50" t="s">
        <v>231</v>
      </c>
      <c r="M249" s="51">
        <v>175</v>
      </c>
      <c r="N249" s="51" t="s">
        <v>479</v>
      </c>
      <c r="O249" s="51" t="s">
        <v>233</v>
      </c>
    </row>
    <row r="250" spans="4:17" ht="16" customHeight="1">
      <c r="J250" s="48">
        <v>567.79999999999995</v>
      </c>
      <c r="K250" s="51">
        <v>2</v>
      </c>
      <c r="L250" s="50" t="s">
        <v>234</v>
      </c>
    </row>
    <row r="251" spans="4:17" ht="16" customHeight="1">
      <c r="D251" s="51"/>
      <c r="J251" s="48">
        <v>678.4</v>
      </c>
      <c r="K251" s="51">
        <v>2</v>
      </c>
      <c r="L251" s="50" t="s">
        <v>235</v>
      </c>
    </row>
    <row r="252" spans="4:17" ht="16" customHeight="1">
      <c r="D252" s="51"/>
      <c r="J252" s="48">
        <v>472.3</v>
      </c>
      <c r="K252" s="51">
        <v>2</v>
      </c>
      <c r="L252" s="50" t="s">
        <v>311</v>
      </c>
      <c r="M252" s="51">
        <v>142</v>
      </c>
      <c r="N252" s="51" t="s">
        <v>480</v>
      </c>
      <c r="O252" s="51" t="s">
        <v>233</v>
      </c>
    </row>
    <row r="253" spans="4:17" ht="16" customHeight="1">
      <c r="D253" s="51"/>
      <c r="E253" s="59">
        <v>0.32933999999999997</v>
      </c>
      <c r="F253" s="46" t="s">
        <v>356</v>
      </c>
      <c r="J253" s="48">
        <v>472.3</v>
      </c>
      <c r="K253" s="51">
        <v>2</v>
      </c>
      <c r="L253" s="50" t="s">
        <v>311</v>
      </c>
      <c r="M253" s="51">
        <v>209</v>
      </c>
      <c r="N253" s="51" t="s">
        <v>480</v>
      </c>
      <c r="O253" s="51" t="s">
        <v>233</v>
      </c>
    </row>
    <row r="254" spans="4:17" ht="16" customHeight="1">
      <c r="D254" s="51"/>
      <c r="J254" s="48">
        <v>567.79999999999995</v>
      </c>
      <c r="K254" s="51">
        <v>2</v>
      </c>
      <c r="L254" s="50" t="s">
        <v>234</v>
      </c>
    </row>
    <row r="255" spans="4:17" ht="16" customHeight="1">
      <c r="J255" s="48">
        <v>635.79999999999995</v>
      </c>
      <c r="K255" s="51">
        <v>2</v>
      </c>
      <c r="L255" s="50" t="s">
        <v>408</v>
      </c>
    </row>
    <row r="256" spans="4:17" ht="16" customHeight="1">
      <c r="D256" s="51"/>
      <c r="E256" s="45">
        <v>0.33932000000000001</v>
      </c>
      <c r="F256" s="46" t="s">
        <v>457</v>
      </c>
      <c r="J256" s="48">
        <v>635.79999999999995</v>
      </c>
      <c r="K256" s="51">
        <v>2</v>
      </c>
      <c r="L256" s="50" t="s">
        <v>408</v>
      </c>
      <c r="M256" s="51">
        <v>66</v>
      </c>
      <c r="N256" s="51" t="s">
        <v>480</v>
      </c>
      <c r="O256" s="51" t="s">
        <v>233</v>
      </c>
    </row>
    <row r="257" spans="4:15" ht="16" customHeight="1">
      <c r="D257" s="44">
        <v>23</v>
      </c>
      <c r="E257" s="45">
        <v>1.734</v>
      </c>
      <c r="F257" s="46" t="s">
        <v>481</v>
      </c>
      <c r="J257" s="48">
        <v>509.3</v>
      </c>
      <c r="K257" s="51">
        <v>2</v>
      </c>
      <c r="L257" s="50" t="s">
        <v>226</v>
      </c>
      <c r="M257" s="51">
        <v>221</v>
      </c>
      <c r="N257" s="51" t="s">
        <v>482</v>
      </c>
      <c r="O257" s="51" t="s">
        <v>228</v>
      </c>
    </row>
    <row r="258" spans="4:15" ht="16" customHeight="1">
      <c r="J258" s="48">
        <v>600.79999999999995</v>
      </c>
      <c r="K258" s="51">
        <v>2</v>
      </c>
      <c r="L258" s="50" t="s">
        <v>239</v>
      </c>
    </row>
    <row r="259" spans="4:15" ht="16" customHeight="1">
      <c r="D259" s="51"/>
      <c r="J259" s="48">
        <v>443.6</v>
      </c>
      <c r="K259" s="51">
        <v>3</v>
      </c>
      <c r="L259" s="50" t="s">
        <v>246</v>
      </c>
    </row>
    <row r="260" spans="4:15" ht="16" customHeight="1">
      <c r="D260" s="51"/>
      <c r="J260" s="48">
        <v>670.3</v>
      </c>
      <c r="K260" s="51">
        <v>2</v>
      </c>
      <c r="L260" s="50" t="s">
        <v>248</v>
      </c>
    </row>
    <row r="261" spans="4:15" ht="16" customHeight="1">
      <c r="D261" s="44">
        <v>24</v>
      </c>
      <c r="E261" s="45">
        <v>0.25</v>
      </c>
      <c r="F261" s="46" t="s">
        <v>365</v>
      </c>
      <c r="J261" s="48">
        <v>600.79999999999995</v>
      </c>
      <c r="K261" s="51">
        <v>2</v>
      </c>
      <c r="L261" s="50" t="s">
        <v>239</v>
      </c>
      <c r="M261" s="51">
        <v>80</v>
      </c>
      <c r="N261" s="51" t="s">
        <v>482</v>
      </c>
      <c r="O261" s="51" t="s">
        <v>228</v>
      </c>
    </row>
    <row r="262" spans="4:15" ht="16" customHeight="1">
      <c r="E262" s="45">
        <v>0.25</v>
      </c>
      <c r="F262" s="46" t="s">
        <v>483</v>
      </c>
      <c r="J262" s="48">
        <v>509.3</v>
      </c>
      <c r="K262" s="51">
        <v>2</v>
      </c>
      <c r="L262" s="50" t="s">
        <v>226</v>
      </c>
      <c r="M262" s="51">
        <v>121</v>
      </c>
      <c r="N262" s="51" t="s">
        <v>482</v>
      </c>
      <c r="O262" s="51" t="s">
        <v>228</v>
      </c>
    </row>
    <row r="263" spans="4:15" ht="16" customHeight="1">
      <c r="E263" s="75">
        <f>SUM(E10:E262)</f>
        <v>100.00094076599368</v>
      </c>
      <c r="J263" s="48">
        <v>600.79999999999995</v>
      </c>
      <c r="K263" s="51">
        <v>2</v>
      </c>
      <c r="L263" s="50" t="s">
        <v>239</v>
      </c>
    </row>
  </sheetData>
  <mergeCells count="4">
    <mergeCell ref="H6:P6"/>
    <mergeCell ref="Q6:U6"/>
    <mergeCell ref="Q7:R7"/>
    <mergeCell ref="D6:F6"/>
  </mergeCells>
  <hyperlinks>
    <hyperlink ref="B13" location="'W. aegyptia (Sinai)'!A1" display="Table S1" xr:uid="{F08897CA-0320-6941-ABCD-D04124157209}"/>
    <hyperlink ref="B14" location="'W. aegyptia (Riyadh)'!A1" display="Table S2" xr:uid="{7447BCB1-01E0-0E49-B3AB-C022119022E2}"/>
    <hyperlink ref="B15" location="'W. morgani'!A1" display="Table S3" xr:uid="{213C1C23-D826-5A44-B9DF-176B94755DB1}"/>
    <hyperlink ref="B16" location="'Top-Down MS IDs'!A1" display="Table S4" xr:uid="{80E0C0B2-A91D-EF4F-BE34-AA70691885D9}"/>
    <hyperlink ref="B12" location="'Transcriptomic database'!A1" display="Table S5" xr:uid="{43CBA7C9-B5B2-CF4E-B640-A4117E459BEB}"/>
    <hyperlink ref="B17" location="'W. aegyptia (Sinai) ICP-MS'!A1" display="Table S6" xr:uid="{A3B93D0E-D28B-6D4F-95F8-E67F7392208D}"/>
    <hyperlink ref="B18" location="'W. aegyptia (Riyadh) ICP-MS'!A1" display="Table S7" xr:uid="{B4590DFC-CBDF-6341-BCE7-8309BEF07932}"/>
    <hyperlink ref="B19" location="'W. morgani ICP-MS'!A1" display="Table S8" xr:uid="{A5BFF2DF-5056-574D-830F-FEC89D0D108A}"/>
    <hyperlink ref="B11" location="INDEX!A1" display="INDEX" xr:uid="{4D6FD48D-BDC2-2345-B251-D130609182F7}"/>
  </hyperlinks>
  <pageMargins left="0.7" right="0.7" top="0.75" bottom="0.75" header="0.3" footer="0.3"/>
  <pageSetup paperSize="9" scale="50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7E561-67DB-4E4C-B69E-14C229D31680}">
  <sheetPr>
    <pageSetUpPr fitToPage="1"/>
  </sheetPr>
  <dimension ref="B3:AE285"/>
  <sheetViews>
    <sheetView topLeftCell="H1" workbookViewId="0">
      <pane ySplit="8" topLeftCell="A132" activePane="bottomLeft" state="frozen"/>
      <selection pane="bottomLeft" activeCell="S78" sqref="S78:Y78"/>
    </sheetView>
  </sheetViews>
  <sheetFormatPr baseColWidth="10" defaultColWidth="11.5" defaultRowHeight="16" customHeight="1"/>
  <cols>
    <col min="1" max="3" width="11.5" style="2"/>
    <col min="4" max="4" width="13.83203125" style="1" customWidth="1"/>
    <col min="5" max="7" width="9.1640625" style="2" customWidth="1"/>
    <col min="8" max="8" width="24.33203125" style="2" customWidth="1"/>
    <col min="9" max="9" width="1.5" style="2" customWidth="1"/>
    <col min="10" max="10" width="26.33203125" style="3" customWidth="1"/>
    <col min="11" max="11" width="22.5" style="3" customWidth="1"/>
    <col min="12" max="12" width="7.6640625" style="3" customWidth="1"/>
    <col min="13" max="13" width="5.33203125" style="2" customWidth="1"/>
    <col min="14" max="14" width="36.1640625" style="4" customWidth="1"/>
    <col min="15" max="15" width="7.5" style="2" customWidth="1"/>
    <col min="16" max="16" width="30.6640625" style="2" customWidth="1"/>
    <col min="17" max="17" width="19.5" style="2" customWidth="1"/>
    <col min="18" max="18" width="1.5" style="5" customWidth="1"/>
    <col min="19" max="19" width="9.5" style="2" customWidth="1"/>
    <col min="20" max="20" width="9.33203125" style="2" customWidth="1"/>
    <col min="21" max="21" width="12.1640625" style="14" bestFit="1" customWidth="1"/>
    <col min="22" max="22" width="8.6640625" style="2" customWidth="1"/>
    <col min="23" max="23" width="27.83203125" style="2" customWidth="1"/>
    <col min="24" max="24" width="1.5" style="5" customWidth="1"/>
    <col min="25" max="16384" width="11.5" style="2"/>
  </cols>
  <sheetData>
    <row r="3" spans="2:31" s="34" customFormat="1" ht="16" customHeight="1">
      <c r="D3" s="33" t="s">
        <v>962</v>
      </c>
      <c r="J3" s="35"/>
      <c r="K3" s="35"/>
      <c r="L3" s="35"/>
      <c r="N3" s="36"/>
      <c r="R3" s="37"/>
      <c r="U3" s="38"/>
      <c r="X3" s="37"/>
    </row>
    <row r="4" spans="2:31" s="34" customFormat="1" ht="16" customHeight="1">
      <c r="D4" s="33"/>
      <c r="E4" s="167" t="s">
        <v>984</v>
      </c>
      <c r="J4" s="35"/>
      <c r="K4" s="35"/>
      <c r="L4" s="35"/>
      <c r="N4" s="36"/>
      <c r="R4" s="37"/>
      <c r="U4" s="38"/>
      <c r="X4" s="37"/>
    </row>
    <row r="5" spans="2:31" ht="16" customHeight="1">
      <c r="U5" s="2"/>
      <c r="X5" s="2"/>
    </row>
    <row r="6" spans="2:31" ht="16" customHeight="1">
      <c r="D6" s="264" t="s">
        <v>491</v>
      </c>
      <c r="E6" s="264"/>
      <c r="F6" s="264"/>
      <c r="G6" s="264"/>
      <c r="H6" s="264"/>
      <c r="I6" s="6"/>
      <c r="J6" s="259" t="s">
        <v>0</v>
      </c>
      <c r="K6" s="259"/>
      <c r="L6" s="259"/>
      <c r="M6" s="259"/>
      <c r="N6" s="259"/>
      <c r="O6" s="259"/>
      <c r="P6" s="259"/>
      <c r="Q6" s="259"/>
      <c r="S6" s="260" t="s">
        <v>1</v>
      </c>
      <c r="T6" s="260"/>
      <c r="U6" s="260"/>
      <c r="V6" s="260"/>
      <c r="W6" s="260"/>
      <c r="X6" s="7"/>
      <c r="Y6" s="260" t="s">
        <v>2</v>
      </c>
      <c r="Z6" s="260"/>
      <c r="AA6" s="260"/>
      <c r="AB6" s="260"/>
      <c r="AC6" s="260"/>
      <c r="AD6" s="260"/>
    </row>
    <row r="7" spans="2:31" ht="16" customHeight="1">
      <c r="J7" s="8"/>
      <c r="K7" s="8"/>
      <c r="L7" s="8"/>
      <c r="M7" s="8"/>
      <c r="N7" s="8"/>
      <c r="O7" s="8"/>
      <c r="P7" s="8"/>
      <c r="Q7" s="8"/>
      <c r="S7" s="263" t="s">
        <v>3</v>
      </c>
      <c r="T7" s="263"/>
      <c r="U7" s="9"/>
      <c r="V7" s="10" t="s">
        <v>994</v>
      </c>
      <c r="W7" s="7" t="s">
        <v>988</v>
      </c>
      <c r="X7" s="7"/>
      <c r="Y7" s="10"/>
      <c r="Z7" s="10"/>
      <c r="AA7" s="10"/>
      <c r="AB7" s="10"/>
    </row>
    <row r="8" spans="2:31" ht="16" customHeight="1">
      <c r="D8" s="29" t="s">
        <v>4</v>
      </c>
      <c r="E8" s="30" t="s">
        <v>5</v>
      </c>
      <c r="F8" s="207"/>
      <c r="G8" s="207"/>
      <c r="H8" s="30" t="s">
        <v>6</v>
      </c>
      <c r="I8" s="10"/>
      <c r="J8" s="31" t="s">
        <v>7</v>
      </c>
      <c r="K8" s="31" t="s">
        <v>8</v>
      </c>
      <c r="L8" s="31" t="s">
        <v>9</v>
      </c>
      <c r="M8" s="30" t="s">
        <v>10</v>
      </c>
      <c r="N8" s="30" t="s">
        <v>11</v>
      </c>
      <c r="O8" s="30" t="s">
        <v>12</v>
      </c>
      <c r="P8" s="30" t="s">
        <v>13</v>
      </c>
      <c r="Q8" s="30" t="s">
        <v>14</v>
      </c>
      <c r="R8" s="7"/>
      <c r="S8" s="30" t="s">
        <v>15</v>
      </c>
      <c r="T8" s="30" t="s">
        <v>16</v>
      </c>
      <c r="U8" s="32" t="s">
        <v>17</v>
      </c>
      <c r="V8" s="30" t="s">
        <v>18</v>
      </c>
      <c r="W8" s="252" t="s">
        <v>992</v>
      </c>
      <c r="X8" s="7"/>
      <c r="Y8" s="265" t="s">
        <v>19</v>
      </c>
      <c r="Z8" s="265"/>
      <c r="AA8" s="265"/>
      <c r="AB8" s="265"/>
      <c r="AC8" s="265"/>
      <c r="AD8" s="265"/>
      <c r="AE8" s="265"/>
    </row>
    <row r="9" spans="2:31" ht="16" customHeight="1">
      <c r="E9" s="10"/>
      <c r="F9" s="10"/>
      <c r="G9" s="10"/>
      <c r="H9" s="10"/>
      <c r="I9" s="10"/>
      <c r="J9" s="8"/>
      <c r="K9" s="8"/>
      <c r="L9" s="11"/>
      <c r="M9" s="10"/>
      <c r="N9" s="10"/>
      <c r="O9" s="7"/>
      <c r="P9" s="7"/>
      <c r="Q9" s="7"/>
      <c r="R9" s="7"/>
      <c r="S9" s="10"/>
      <c r="T9" s="10"/>
      <c r="U9" s="9"/>
      <c r="V9" s="10"/>
      <c r="W9" s="10"/>
      <c r="X9" s="7"/>
      <c r="Y9" s="12"/>
      <c r="Z9" s="10"/>
      <c r="AA9" s="10"/>
      <c r="AB9" s="10"/>
    </row>
    <row r="10" spans="2:31" ht="16" customHeight="1">
      <c r="B10" s="224"/>
      <c r="D10" s="1">
        <v>1</v>
      </c>
      <c r="E10" s="13">
        <v>1.7353000000000003</v>
      </c>
      <c r="F10" s="13"/>
      <c r="G10" s="13"/>
      <c r="H10" s="2" t="s">
        <v>20</v>
      </c>
      <c r="L10" s="3">
        <v>491.23809999999997</v>
      </c>
      <c r="M10" s="2">
        <v>3</v>
      </c>
      <c r="N10" s="4" t="s">
        <v>21</v>
      </c>
      <c r="O10" s="2">
        <v>92</v>
      </c>
      <c r="P10" s="10" t="s">
        <v>22</v>
      </c>
      <c r="Q10" s="2" t="s">
        <v>23</v>
      </c>
      <c r="T10" s="3"/>
    </row>
    <row r="11" spans="2:31" ht="16" customHeight="1">
      <c r="B11" s="225" t="s">
        <v>724</v>
      </c>
      <c r="E11" s="13">
        <v>21.617699999999999</v>
      </c>
      <c r="F11" s="13"/>
      <c r="G11" s="13"/>
      <c r="H11" s="2" t="s">
        <v>24</v>
      </c>
      <c r="J11" s="15">
        <v>6848.02</v>
      </c>
      <c r="K11" s="15">
        <v>6852.06</v>
      </c>
      <c r="L11" s="3">
        <v>491.23809999999997</v>
      </c>
      <c r="M11" s="2">
        <v>3</v>
      </c>
      <c r="N11" s="4" t="s">
        <v>21</v>
      </c>
      <c r="O11" s="2">
        <v>94</v>
      </c>
      <c r="P11" s="10" t="s">
        <v>22</v>
      </c>
      <c r="Q11" s="2" t="s">
        <v>23</v>
      </c>
      <c r="S11" s="22">
        <v>6848.04</v>
      </c>
      <c r="T11" s="22">
        <v>6856.11</v>
      </c>
      <c r="U11" s="22">
        <v>5.2031999999999998E-34</v>
      </c>
      <c r="V11" s="22" t="s">
        <v>25</v>
      </c>
      <c r="W11" s="22" t="s">
        <v>564</v>
      </c>
      <c r="X11" s="18"/>
      <c r="Y11" s="19" t="s">
        <v>27</v>
      </c>
    </row>
    <row r="12" spans="2:31" ht="16" customHeight="1">
      <c r="B12" s="225" t="s">
        <v>725</v>
      </c>
      <c r="D12" s="1">
        <v>2</v>
      </c>
      <c r="E12" s="13">
        <v>3.2</v>
      </c>
      <c r="F12" s="13"/>
      <c r="G12" s="13"/>
      <c r="H12" s="2" t="s">
        <v>28</v>
      </c>
      <c r="L12" s="3">
        <v>491.23809999999997</v>
      </c>
      <c r="M12" s="2">
        <v>3</v>
      </c>
      <c r="N12" s="4" t="s">
        <v>21</v>
      </c>
      <c r="O12" s="2">
        <v>69</v>
      </c>
      <c r="P12" s="10" t="s">
        <v>22</v>
      </c>
      <c r="Q12" s="2" t="s">
        <v>23</v>
      </c>
      <c r="T12" s="3"/>
    </row>
    <row r="13" spans="2:31" ht="16" customHeight="1">
      <c r="B13" s="225" t="s">
        <v>726</v>
      </c>
      <c r="E13" s="13">
        <v>1.6362000000000001</v>
      </c>
      <c r="F13" s="13"/>
      <c r="G13" s="13"/>
      <c r="H13" s="2" t="s">
        <v>24</v>
      </c>
      <c r="L13" s="3">
        <v>491.23809999999997</v>
      </c>
      <c r="M13" s="2">
        <v>3</v>
      </c>
      <c r="N13" s="4" t="s">
        <v>21</v>
      </c>
      <c r="O13" s="2">
        <v>67</v>
      </c>
      <c r="P13" s="10" t="s">
        <v>22</v>
      </c>
      <c r="Q13" s="2" t="s">
        <v>23</v>
      </c>
      <c r="T13" s="3"/>
    </row>
    <row r="14" spans="2:31" ht="16" customHeight="1">
      <c r="B14" s="225" t="s">
        <v>727</v>
      </c>
      <c r="J14" s="11" t="s">
        <v>29</v>
      </c>
      <c r="K14" s="11" t="s">
        <v>30</v>
      </c>
      <c r="L14" s="3">
        <v>860.85619999999994</v>
      </c>
      <c r="M14" s="2">
        <v>2</v>
      </c>
      <c r="N14" s="4" t="s">
        <v>31</v>
      </c>
      <c r="O14" s="2">
        <v>37</v>
      </c>
      <c r="P14" s="10" t="s">
        <v>32</v>
      </c>
      <c r="Q14" s="2" t="s">
        <v>33</v>
      </c>
      <c r="T14" s="3"/>
      <c r="Y14" s="4" t="s">
        <v>34</v>
      </c>
    </row>
    <row r="15" spans="2:31" ht="16" customHeight="1">
      <c r="B15" s="225" t="s">
        <v>728</v>
      </c>
      <c r="C15" s="13"/>
      <c r="D15" s="20"/>
      <c r="E15" s="13">
        <v>0.68174999999999997</v>
      </c>
      <c r="F15" s="13"/>
      <c r="G15" s="13"/>
      <c r="H15" s="2" t="s">
        <v>35</v>
      </c>
      <c r="J15" s="11" t="s">
        <v>36</v>
      </c>
      <c r="K15" s="11" t="s">
        <v>37</v>
      </c>
      <c r="L15" s="3">
        <v>640.7396</v>
      </c>
      <c r="M15" s="2">
        <v>2</v>
      </c>
      <c r="N15" s="4" t="s">
        <v>38</v>
      </c>
      <c r="O15" s="2">
        <v>178</v>
      </c>
      <c r="P15" s="10" t="s">
        <v>39</v>
      </c>
      <c r="Q15" s="2" t="s">
        <v>40</v>
      </c>
      <c r="S15" s="22">
        <v>6661.99</v>
      </c>
      <c r="T15" s="22">
        <v>6668.04</v>
      </c>
      <c r="U15" s="22">
        <v>1.7860799999999999E-35</v>
      </c>
      <c r="V15" s="22" t="s">
        <v>41</v>
      </c>
      <c r="W15" s="22" t="s">
        <v>576</v>
      </c>
      <c r="X15" s="18"/>
      <c r="Y15" s="4" t="s">
        <v>43</v>
      </c>
    </row>
    <row r="16" spans="2:31" ht="16" customHeight="1">
      <c r="B16" s="225" t="s">
        <v>729</v>
      </c>
      <c r="J16" s="11" t="s">
        <v>44</v>
      </c>
      <c r="K16" s="11" t="s">
        <v>45</v>
      </c>
      <c r="L16" s="3">
        <v>617.76559999999995</v>
      </c>
      <c r="M16" s="2">
        <v>2</v>
      </c>
      <c r="N16" s="4" t="s">
        <v>46</v>
      </c>
      <c r="O16" s="2">
        <v>47</v>
      </c>
      <c r="P16" s="10" t="s">
        <v>47</v>
      </c>
      <c r="Q16" s="2" t="s">
        <v>48</v>
      </c>
      <c r="S16" s="22">
        <v>6342.93</v>
      </c>
      <c r="T16" s="22">
        <v>6348.98</v>
      </c>
      <c r="U16" s="22">
        <v>4.5161099999999999E-41</v>
      </c>
      <c r="V16" s="22" t="s">
        <v>41</v>
      </c>
      <c r="W16" s="22" t="s">
        <v>577</v>
      </c>
      <c r="X16" s="18"/>
      <c r="Y16" s="4" t="s">
        <v>49</v>
      </c>
    </row>
    <row r="17" spans="2:25" ht="16" customHeight="1">
      <c r="B17" s="225" t="s">
        <v>730</v>
      </c>
      <c r="D17" s="1">
        <v>3</v>
      </c>
      <c r="E17" s="13">
        <v>5.5000000000000005E-3</v>
      </c>
      <c r="F17" s="13"/>
      <c r="G17" s="13"/>
      <c r="H17" s="2" t="s">
        <v>28</v>
      </c>
      <c r="L17" s="3">
        <v>860.85500000000002</v>
      </c>
      <c r="M17" s="2">
        <v>2</v>
      </c>
      <c r="N17" s="4" t="s">
        <v>31</v>
      </c>
      <c r="O17" s="2">
        <v>98</v>
      </c>
      <c r="P17" s="10" t="s">
        <v>32</v>
      </c>
      <c r="Q17" s="2" t="s">
        <v>33</v>
      </c>
      <c r="T17" s="3"/>
    </row>
    <row r="18" spans="2:25" ht="16" customHeight="1">
      <c r="B18" s="225" t="s">
        <v>731</v>
      </c>
      <c r="E18" s="13">
        <v>3.5750000000000004E-2</v>
      </c>
      <c r="F18" s="13"/>
      <c r="G18" s="13"/>
      <c r="H18" s="2" t="s">
        <v>24</v>
      </c>
      <c r="L18" s="3">
        <v>860.85500000000002</v>
      </c>
      <c r="M18" s="2">
        <v>2</v>
      </c>
      <c r="N18" s="4" t="s">
        <v>31</v>
      </c>
      <c r="O18" s="2">
        <v>93</v>
      </c>
      <c r="P18" s="10" t="s">
        <v>32</v>
      </c>
      <c r="Q18" s="2" t="s">
        <v>33</v>
      </c>
      <c r="T18" s="3"/>
    </row>
    <row r="19" spans="2:25" ht="16" customHeight="1">
      <c r="B19" s="225" t="s">
        <v>732</v>
      </c>
      <c r="L19" s="3">
        <v>616.54150000000004</v>
      </c>
      <c r="M19" s="2">
        <v>3</v>
      </c>
      <c r="N19" s="4" t="s">
        <v>50</v>
      </c>
      <c r="Q19" s="2" t="s">
        <v>33</v>
      </c>
      <c r="T19" s="3"/>
    </row>
    <row r="20" spans="2:25" ht="16" customHeight="1">
      <c r="B20" s="224"/>
      <c r="C20" s="13"/>
      <c r="E20" s="13">
        <v>1.375E-2</v>
      </c>
      <c r="F20" s="13"/>
      <c r="G20" s="13"/>
      <c r="H20" s="2" t="s">
        <v>35</v>
      </c>
      <c r="J20" s="11" t="s">
        <v>44</v>
      </c>
      <c r="K20" s="11" t="s">
        <v>51</v>
      </c>
      <c r="L20" s="3">
        <v>662.78390000000002</v>
      </c>
      <c r="M20" s="2">
        <v>2</v>
      </c>
      <c r="N20" s="4" t="s">
        <v>52</v>
      </c>
      <c r="O20" s="2">
        <v>69</v>
      </c>
      <c r="P20" s="2" t="s">
        <v>53</v>
      </c>
      <c r="Q20" s="2" t="s">
        <v>48</v>
      </c>
      <c r="S20" s="22">
        <v>6342.93</v>
      </c>
      <c r="T20" s="22">
        <v>6348.98</v>
      </c>
      <c r="U20" s="22">
        <v>4.5161099999999999E-41</v>
      </c>
      <c r="V20" s="22" t="s">
        <v>41</v>
      </c>
      <c r="W20" s="85" t="s">
        <v>577</v>
      </c>
      <c r="Y20" s="4" t="s">
        <v>49</v>
      </c>
    </row>
    <row r="21" spans="2:25" ht="16" customHeight="1">
      <c r="J21" s="11" t="s">
        <v>54</v>
      </c>
      <c r="K21" s="11" t="s">
        <v>55</v>
      </c>
      <c r="L21" s="3">
        <v>470.19380000000001</v>
      </c>
      <c r="M21" s="2">
        <v>3</v>
      </c>
      <c r="N21" s="4" t="s">
        <v>56</v>
      </c>
      <c r="O21" s="2">
        <v>61</v>
      </c>
      <c r="P21" s="2" t="s">
        <v>57</v>
      </c>
      <c r="Q21" s="2" t="s">
        <v>40</v>
      </c>
      <c r="S21" s="2">
        <v>6775</v>
      </c>
      <c r="T21" s="3">
        <v>6781.13</v>
      </c>
      <c r="U21" s="65">
        <v>4.3975199999999999E-31</v>
      </c>
      <c r="V21" s="2" t="s">
        <v>41</v>
      </c>
      <c r="Y21" s="4" t="s">
        <v>58</v>
      </c>
    </row>
    <row r="22" spans="2:25" ht="16" customHeight="1">
      <c r="B22" s="13"/>
      <c r="D22" s="1">
        <v>4</v>
      </c>
      <c r="E22" s="13">
        <v>0.51101999999999992</v>
      </c>
      <c r="F22" s="13"/>
      <c r="G22" s="13"/>
      <c r="H22" s="2" t="s">
        <v>28</v>
      </c>
      <c r="L22" s="3">
        <v>860.85500000000002</v>
      </c>
      <c r="M22" s="2">
        <v>2</v>
      </c>
      <c r="N22" s="4" t="s">
        <v>31</v>
      </c>
      <c r="O22" s="2">
        <v>39</v>
      </c>
      <c r="Q22" s="2" t="s">
        <v>33</v>
      </c>
      <c r="T22" s="3"/>
    </row>
    <row r="23" spans="2:25" ht="16" customHeight="1">
      <c r="B23" s="13"/>
      <c r="E23" s="13">
        <v>1.56145</v>
      </c>
      <c r="F23" s="13"/>
      <c r="G23" s="13"/>
      <c r="H23" s="2" t="s">
        <v>24</v>
      </c>
      <c r="L23" s="3">
        <v>860.85530000000006</v>
      </c>
      <c r="M23" s="2">
        <v>2</v>
      </c>
      <c r="N23" s="4" t="s">
        <v>31</v>
      </c>
      <c r="O23" s="2">
        <v>50</v>
      </c>
      <c r="P23" s="2" t="s">
        <v>59</v>
      </c>
      <c r="Q23" s="2" t="s">
        <v>33</v>
      </c>
      <c r="T23" s="3"/>
    </row>
    <row r="24" spans="2:25" ht="16" customHeight="1">
      <c r="C24" s="13"/>
      <c r="E24" s="13">
        <v>0.76653000000000004</v>
      </c>
      <c r="F24" s="13"/>
      <c r="G24" s="13"/>
      <c r="H24" s="2" t="s">
        <v>35</v>
      </c>
      <c r="J24" s="11">
        <v>6343</v>
      </c>
      <c r="K24" s="11" t="s">
        <v>51</v>
      </c>
      <c r="L24" s="3">
        <v>640.80259999999998</v>
      </c>
      <c r="M24" s="2">
        <v>2</v>
      </c>
      <c r="N24" s="4" t="s">
        <v>38</v>
      </c>
      <c r="O24" s="2">
        <v>60</v>
      </c>
      <c r="P24" s="2" t="s">
        <v>60</v>
      </c>
      <c r="Q24" s="2" t="s">
        <v>48</v>
      </c>
      <c r="T24" s="3"/>
    </row>
    <row r="25" spans="2:25" ht="16" customHeight="1">
      <c r="C25" s="13"/>
      <c r="D25" s="1">
        <v>5</v>
      </c>
      <c r="E25" s="13">
        <v>0.4239</v>
      </c>
      <c r="F25" s="13"/>
      <c r="G25" s="13"/>
      <c r="H25" s="2" t="s">
        <v>28</v>
      </c>
      <c r="J25" s="11" t="s">
        <v>54</v>
      </c>
      <c r="K25" s="11" t="s">
        <v>55</v>
      </c>
      <c r="L25" s="3">
        <v>860.85440000000006</v>
      </c>
      <c r="M25" s="2">
        <v>2</v>
      </c>
      <c r="N25" s="4" t="s">
        <v>31</v>
      </c>
      <c r="O25" s="2">
        <v>28</v>
      </c>
      <c r="P25" s="2" t="s">
        <v>57</v>
      </c>
      <c r="Q25" s="2" t="s">
        <v>40</v>
      </c>
      <c r="T25" s="3"/>
    </row>
    <row r="26" spans="2:25" ht="16" customHeight="1">
      <c r="B26" s="13"/>
      <c r="E26" s="13">
        <v>1.5543</v>
      </c>
      <c r="F26" s="13"/>
      <c r="G26" s="13"/>
      <c r="H26" s="2" t="s">
        <v>24</v>
      </c>
      <c r="L26" s="3">
        <v>860.85500000000002</v>
      </c>
      <c r="M26" s="2">
        <v>2</v>
      </c>
      <c r="N26" s="4" t="s">
        <v>31</v>
      </c>
      <c r="O26" s="2">
        <v>93</v>
      </c>
      <c r="P26" s="10" t="s">
        <v>32</v>
      </c>
      <c r="Q26" s="2" t="s">
        <v>33</v>
      </c>
      <c r="T26" s="3"/>
    </row>
    <row r="27" spans="2:25" ht="16" customHeight="1">
      <c r="C27" s="13"/>
      <c r="E27" s="13">
        <v>0.42399999999999999</v>
      </c>
      <c r="F27" s="13"/>
      <c r="G27" s="13"/>
      <c r="H27" s="2" t="s">
        <v>35</v>
      </c>
      <c r="L27" s="3">
        <v>617.76469999999995</v>
      </c>
      <c r="M27" s="2">
        <v>2</v>
      </c>
      <c r="N27" s="4" t="s">
        <v>46</v>
      </c>
      <c r="O27" s="2">
        <v>52</v>
      </c>
      <c r="P27" s="10" t="s">
        <v>47</v>
      </c>
      <c r="Q27" s="2" t="s">
        <v>48</v>
      </c>
      <c r="T27" s="3"/>
    </row>
    <row r="28" spans="2:25" ht="16" customHeight="1">
      <c r="E28" s="2">
        <v>0.42399999999999999</v>
      </c>
      <c r="J28" s="3" t="s">
        <v>61</v>
      </c>
      <c r="K28" s="3" t="s">
        <v>62</v>
      </c>
      <c r="L28" s="3">
        <v>640.73990000000003</v>
      </c>
      <c r="M28" s="2">
        <v>2</v>
      </c>
      <c r="N28" s="4" t="s">
        <v>38</v>
      </c>
      <c r="O28" s="2">
        <v>40</v>
      </c>
      <c r="P28" s="2" t="s">
        <v>57</v>
      </c>
      <c r="Q28" s="2" t="s">
        <v>40</v>
      </c>
      <c r="T28" s="3"/>
      <c r="Y28"/>
    </row>
    <row r="29" spans="2:25" ht="16" customHeight="1">
      <c r="B29" s="13"/>
      <c r="D29" s="1">
        <v>6</v>
      </c>
      <c r="E29" s="13">
        <v>0.1462</v>
      </c>
      <c r="F29" s="13"/>
      <c r="G29" s="13"/>
      <c r="H29" s="2" t="s">
        <v>28</v>
      </c>
      <c r="L29" s="3">
        <v>860.85500000000002</v>
      </c>
      <c r="M29" s="2">
        <v>2</v>
      </c>
      <c r="N29" s="4" t="s">
        <v>31</v>
      </c>
      <c r="O29" s="2">
        <v>93</v>
      </c>
      <c r="P29" s="10" t="s">
        <v>32</v>
      </c>
      <c r="Q29" s="2" t="s">
        <v>33</v>
      </c>
      <c r="T29" s="3"/>
    </row>
    <row r="30" spans="2:25" ht="16" customHeight="1">
      <c r="B30" s="13"/>
      <c r="E30" s="13">
        <v>0.65789999999999993</v>
      </c>
      <c r="F30" s="13"/>
      <c r="G30" s="13"/>
      <c r="H30" s="2" t="s">
        <v>24</v>
      </c>
      <c r="L30" s="3">
        <v>571.29039999999998</v>
      </c>
      <c r="M30" s="2">
        <v>2</v>
      </c>
      <c r="N30" s="4" t="s">
        <v>63</v>
      </c>
      <c r="O30" s="2">
        <v>37</v>
      </c>
      <c r="P30" s="2" t="s">
        <v>64</v>
      </c>
      <c r="Q30" s="2" t="s">
        <v>74</v>
      </c>
      <c r="T30" s="3"/>
    </row>
    <row r="31" spans="2:25" ht="16" customHeight="1">
      <c r="C31" s="13"/>
      <c r="E31" s="13">
        <v>0.65789999999999993</v>
      </c>
      <c r="F31" s="13"/>
      <c r="G31" s="13"/>
      <c r="H31" s="2" t="s">
        <v>35</v>
      </c>
      <c r="J31" s="11" t="s">
        <v>370</v>
      </c>
      <c r="K31" s="11" t="s">
        <v>371</v>
      </c>
      <c r="L31" s="3">
        <v>768.82</v>
      </c>
      <c r="M31" s="2">
        <v>2</v>
      </c>
      <c r="N31" s="4" t="s">
        <v>65</v>
      </c>
      <c r="O31" s="2">
        <v>70</v>
      </c>
      <c r="P31" s="2" t="s">
        <v>66</v>
      </c>
      <c r="Q31" s="2" t="s">
        <v>67</v>
      </c>
      <c r="S31" s="2">
        <v>5793.44</v>
      </c>
      <c r="T31" s="3">
        <v>5799.54</v>
      </c>
      <c r="U31" s="22" t="s">
        <v>966</v>
      </c>
      <c r="V31" s="2" t="s">
        <v>41</v>
      </c>
      <c r="W31" s="2" t="s">
        <v>68</v>
      </c>
      <c r="Y31" s="4" t="s">
        <v>69</v>
      </c>
    </row>
    <row r="32" spans="2:25" ht="16" customHeight="1">
      <c r="L32" s="3">
        <v>617.7654</v>
      </c>
      <c r="M32" s="2">
        <v>2</v>
      </c>
      <c r="N32" s="4" t="s">
        <v>46</v>
      </c>
      <c r="O32" s="2">
        <v>57</v>
      </c>
      <c r="P32" s="2" t="s">
        <v>60</v>
      </c>
      <c r="Q32" s="2" t="s">
        <v>925</v>
      </c>
      <c r="T32" s="3"/>
    </row>
    <row r="33" spans="2:26" ht="16" customHeight="1">
      <c r="J33" s="49">
        <v>6618.2</v>
      </c>
      <c r="K33" s="48">
        <v>6622</v>
      </c>
      <c r="L33" s="48">
        <v>474.3</v>
      </c>
      <c r="M33" s="51">
        <v>2</v>
      </c>
      <c r="N33" s="50" t="s">
        <v>289</v>
      </c>
      <c r="O33" s="51">
        <v>104</v>
      </c>
      <c r="P33" s="51" t="s">
        <v>323</v>
      </c>
      <c r="Q33" s="2" t="s">
        <v>74</v>
      </c>
      <c r="T33" s="3"/>
    </row>
    <row r="34" spans="2:26" ht="16" customHeight="1">
      <c r="J34" s="49"/>
      <c r="K34" s="48"/>
      <c r="L34" s="48">
        <v>571.29999999999995</v>
      </c>
      <c r="M34" s="51">
        <v>2</v>
      </c>
      <c r="N34" s="50" t="s">
        <v>63</v>
      </c>
      <c r="O34" s="51"/>
      <c r="P34" s="51"/>
      <c r="Q34" s="51"/>
      <c r="T34" s="3"/>
    </row>
    <row r="35" spans="2:26" ht="16" customHeight="1">
      <c r="J35" s="52" t="s">
        <v>500</v>
      </c>
      <c r="K35" s="47" t="s">
        <v>501</v>
      </c>
      <c r="L35" s="48">
        <v>598.79999999999995</v>
      </c>
      <c r="M35" s="51">
        <v>2</v>
      </c>
      <c r="N35" s="50" t="s">
        <v>89</v>
      </c>
      <c r="O35" s="51">
        <v>69</v>
      </c>
      <c r="P35" s="51" t="s">
        <v>434</v>
      </c>
      <c r="Q35" s="46" t="s">
        <v>926</v>
      </c>
      <c r="R35" s="49"/>
      <c r="S35" s="22">
        <v>7330.15</v>
      </c>
      <c r="T35" s="22">
        <v>7339.23</v>
      </c>
      <c r="U35" s="22">
        <v>8.8526000000000003E-29</v>
      </c>
      <c r="V35" s="22" t="s">
        <v>502</v>
      </c>
      <c r="W35" s="22" t="s">
        <v>503</v>
      </c>
      <c r="X35" s="51"/>
      <c r="Y35" s="50" t="s">
        <v>504</v>
      </c>
      <c r="Z35" s="51"/>
    </row>
    <row r="36" spans="2:26" ht="16" customHeight="1">
      <c r="B36" s="13"/>
      <c r="D36" s="1">
        <v>7</v>
      </c>
      <c r="E36" s="13">
        <v>1.0031999999999999</v>
      </c>
      <c r="F36" s="13"/>
      <c r="G36" s="13"/>
      <c r="H36" s="2" t="s">
        <v>70</v>
      </c>
      <c r="J36" s="11" t="s">
        <v>71</v>
      </c>
      <c r="K36" s="11" t="s">
        <v>72</v>
      </c>
      <c r="L36" s="3">
        <v>571.29669999999999</v>
      </c>
      <c r="M36" s="2">
        <v>2</v>
      </c>
      <c r="N36" s="4" t="s">
        <v>63</v>
      </c>
      <c r="O36" s="2">
        <v>41</v>
      </c>
      <c r="P36" s="10" t="s">
        <v>73</v>
      </c>
      <c r="Q36" s="2" t="s">
        <v>74</v>
      </c>
      <c r="S36" s="22">
        <v>7394.45</v>
      </c>
      <c r="T36" s="22">
        <v>7404.52</v>
      </c>
      <c r="U36" s="22">
        <v>2.3324000000000001E-35</v>
      </c>
      <c r="V36" s="22" t="s">
        <v>25</v>
      </c>
      <c r="W36" s="22" t="s">
        <v>566</v>
      </c>
      <c r="Y36" s="4" t="s">
        <v>76</v>
      </c>
    </row>
    <row r="37" spans="2:26" ht="16" customHeight="1">
      <c r="C37" s="13"/>
      <c r="E37" s="13">
        <v>3.0287999999999999</v>
      </c>
      <c r="F37" s="13"/>
      <c r="G37" s="13"/>
      <c r="H37" s="2" t="s">
        <v>77</v>
      </c>
      <c r="J37" s="11" t="s">
        <v>78</v>
      </c>
      <c r="K37" s="11" t="s">
        <v>372</v>
      </c>
      <c r="L37" s="3">
        <v>768.81970000000001</v>
      </c>
      <c r="M37" s="2">
        <v>2</v>
      </c>
      <c r="N37" s="4" t="s">
        <v>65</v>
      </c>
      <c r="O37" s="2">
        <v>133</v>
      </c>
      <c r="P37" s="10" t="s">
        <v>79</v>
      </c>
      <c r="Q37" s="2" t="s">
        <v>80</v>
      </c>
      <c r="S37" s="22">
        <v>6389.86</v>
      </c>
      <c r="T37" s="22">
        <v>6395.88</v>
      </c>
      <c r="U37" s="22">
        <v>6.8750399999999998E-47</v>
      </c>
      <c r="V37" s="22" t="s">
        <v>41</v>
      </c>
      <c r="W37" s="22" t="s">
        <v>578</v>
      </c>
      <c r="Y37" s="4" t="s">
        <v>82</v>
      </c>
    </row>
    <row r="38" spans="2:26" ht="16" customHeight="1">
      <c r="L38" s="3">
        <v>767.60559999999998</v>
      </c>
      <c r="M38" s="2">
        <v>3</v>
      </c>
      <c r="N38" s="4" t="s">
        <v>83</v>
      </c>
      <c r="P38" s="2" t="s">
        <v>84</v>
      </c>
      <c r="Q38" s="2" t="s">
        <v>80</v>
      </c>
      <c r="T38" s="3"/>
    </row>
    <row r="39" spans="2:26" ht="16" customHeight="1">
      <c r="D39" s="1">
        <v>8</v>
      </c>
      <c r="E39" s="13">
        <v>0.69790000000000008</v>
      </c>
      <c r="F39" s="13"/>
      <c r="G39" s="13"/>
      <c r="H39" s="2" t="s">
        <v>85</v>
      </c>
      <c r="L39" s="3">
        <v>649.29999999999995</v>
      </c>
      <c r="M39" s="2">
        <v>2</v>
      </c>
      <c r="N39" s="4" t="s">
        <v>86</v>
      </c>
      <c r="O39" s="23" t="s">
        <v>87</v>
      </c>
      <c r="P39" s="23" t="s">
        <v>88</v>
      </c>
      <c r="Q39" s="2" t="s">
        <v>748</v>
      </c>
      <c r="T39" s="3"/>
    </row>
    <row r="40" spans="2:26" ht="16" customHeight="1">
      <c r="B40" s="13"/>
      <c r="E40" s="13">
        <v>0.34895000000000004</v>
      </c>
      <c r="F40" s="13"/>
      <c r="G40" s="13"/>
      <c r="H40" s="2" t="s">
        <v>70</v>
      </c>
      <c r="L40" s="3">
        <v>598.75350000000003</v>
      </c>
      <c r="M40" s="2">
        <v>2</v>
      </c>
      <c r="N40" s="4" t="s">
        <v>89</v>
      </c>
      <c r="O40" s="2">
        <v>52</v>
      </c>
      <c r="P40" s="23" t="s">
        <v>90</v>
      </c>
      <c r="Q40" s="46" t="s">
        <v>926</v>
      </c>
      <c r="T40" s="3"/>
    </row>
    <row r="41" spans="2:26" ht="16" customHeight="1">
      <c r="C41" s="13"/>
      <c r="E41" s="13">
        <v>0.5877828399619367</v>
      </c>
      <c r="F41" s="13"/>
      <c r="G41" s="13"/>
      <c r="H41" s="2" t="s">
        <v>77</v>
      </c>
      <c r="J41" s="3" t="s">
        <v>91</v>
      </c>
      <c r="K41" s="3" t="s">
        <v>92</v>
      </c>
      <c r="L41" s="3">
        <v>767.60440000000006</v>
      </c>
      <c r="M41" s="2">
        <v>2</v>
      </c>
      <c r="N41" s="4" t="s">
        <v>83</v>
      </c>
      <c r="O41" s="2">
        <v>57</v>
      </c>
      <c r="P41" s="2" t="s">
        <v>93</v>
      </c>
      <c r="Q41" s="2" t="s">
        <v>94</v>
      </c>
      <c r="T41" s="3"/>
    </row>
    <row r="42" spans="2:26" ht="16" customHeight="1">
      <c r="B42" s="13"/>
      <c r="E42" s="13">
        <v>5.3443671600380629</v>
      </c>
      <c r="F42" s="13"/>
      <c r="G42" s="13"/>
      <c r="H42" s="2" t="s">
        <v>77</v>
      </c>
      <c r="L42" s="3">
        <v>470.47199999999998</v>
      </c>
      <c r="M42" s="2">
        <v>4</v>
      </c>
      <c r="N42" s="4" t="s">
        <v>95</v>
      </c>
      <c r="O42" s="2">
        <v>44</v>
      </c>
      <c r="P42" s="2" t="s">
        <v>96</v>
      </c>
      <c r="Q42" s="46" t="s">
        <v>926</v>
      </c>
      <c r="T42" s="3"/>
    </row>
    <row r="43" spans="2:26" ht="16" customHeight="1">
      <c r="J43" s="11" t="s">
        <v>97</v>
      </c>
      <c r="K43" s="11" t="s">
        <v>98</v>
      </c>
      <c r="L43" s="3">
        <v>571.29830000000004</v>
      </c>
      <c r="M43" s="2">
        <v>2</v>
      </c>
      <c r="N43" s="4" t="s">
        <v>63</v>
      </c>
      <c r="O43" s="2">
        <v>34</v>
      </c>
      <c r="P43" s="10" t="s">
        <v>73</v>
      </c>
      <c r="Q43" s="2" t="s">
        <v>74</v>
      </c>
      <c r="T43" s="3"/>
    </row>
    <row r="44" spans="2:26" ht="16" customHeight="1">
      <c r="L44" s="3">
        <v>502.8</v>
      </c>
      <c r="M44" s="2">
        <v>2</v>
      </c>
      <c r="N44" s="4" t="s">
        <v>99</v>
      </c>
      <c r="O44" s="23" t="s">
        <v>87</v>
      </c>
      <c r="P44" s="10" t="s">
        <v>100</v>
      </c>
      <c r="Q44" s="2" t="s">
        <v>74</v>
      </c>
      <c r="T44" s="3"/>
    </row>
    <row r="45" spans="2:26" ht="16" customHeight="1">
      <c r="B45" s="13"/>
      <c r="D45" s="1">
        <v>9</v>
      </c>
      <c r="E45" s="13">
        <v>0.46600000000000003</v>
      </c>
      <c r="F45" s="13"/>
      <c r="G45" s="13"/>
      <c r="H45" s="2" t="s">
        <v>101</v>
      </c>
      <c r="J45" s="3" t="s">
        <v>102</v>
      </c>
      <c r="K45" s="3" t="s">
        <v>103</v>
      </c>
      <c r="L45" s="3">
        <v>903.9</v>
      </c>
      <c r="M45" s="2">
        <v>2</v>
      </c>
      <c r="N45" s="4" t="s">
        <v>104</v>
      </c>
      <c r="O45" s="23" t="s">
        <v>87</v>
      </c>
      <c r="P45" s="23" t="s">
        <v>383</v>
      </c>
      <c r="Q45" s="2" t="s">
        <v>25</v>
      </c>
      <c r="S45" s="85">
        <v>7378.48</v>
      </c>
      <c r="T45" s="85">
        <v>7386.54</v>
      </c>
      <c r="U45" s="85">
        <v>1.12854016E-14</v>
      </c>
      <c r="V45" s="85" t="s">
        <v>492</v>
      </c>
      <c r="W45" s="85" t="s">
        <v>990</v>
      </c>
      <c r="Y45" s="4" t="s">
        <v>105</v>
      </c>
    </row>
    <row r="46" spans="2:26" ht="16" customHeight="1">
      <c r="L46" s="3">
        <v>832</v>
      </c>
      <c r="M46" s="2">
        <v>3</v>
      </c>
      <c r="N46" s="4" t="s">
        <v>106</v>
      </c>
      <c r="O46" s="23" t="s">
        <v>87</v>
      </c>
      <c r="P46" s="2" t="s">
        <v>107</v>
      </c>
      <c r="Q46" s="2" t="s">
        <v>25</v>
      </c>
      <c r="T46" s="3"/>
    </row>
    <row r="47" spans="2:26" ht="16" customHeight="1">
      <c r="D47" s="1">
        <v>10</v>
      </c>
      <c r="E47" s="13">
        <v>0.26819999999999999</v>
      </c>
      <c r="F47" s="13"/>
      <c r="G47" s="13"/>
      <c r="H47" s="2" t="s">
        <v>108</v>
      </c>
      <c r="L47" s="3">
        <v>448.22430000000003</v>
      </c>
      <c r="M47" s="2">
        <v>2</v>
      </c>
      <c r="N47" s="4" t="s">
        <v>109</v>
      </c>
      <c r="O47" s="2">
        <v>192</v>
      </c>
      <c r="P47" s="2" t="s">
        <v>110</v>
      </c>
      <c r="Q47" s="69" t="s">
        <v>917</v>
      </c>
      <c r="T47" s="3"/>
    </row>
    <row r="48" spans="2:26" ht="16" customHeight="1">
      <c r="D48" s="20"/>
      <c r="L48" s="3">
        <v>537.73739999999998</v>
      </c>
      <c r="M48" s="2">
        <v>2</v>
      </c>
      <c r="N48" s="4" t="s">
        <v>112</v>
      </c>
      <c r="T48" s="3"/>
    </row>
    <row r="49" spans="4:25" ht="16" customHeight="1">
      <c r="L49" s="3">
        <v>916.83370000000002</v>
      </c>
      <c r="M49" s="2">
        <v>2</v>
      </c>
      <c r="N49" s="4" t="s">
        <v>113</v>
      </c>
      <c r="T49" s="3"/>
    </row>
    <row r="50" spans="4:25" ht="16" customHeight="1">
      <c r="L50" s="3">
        <v>601.29229999999995</v>
      </c>
      <c r="M50" s="2">
        <v>2</v>
      </c>
      <c r="N50" s="4" t="s">
        <v>114</v>
      </c>
      <c r="O50" s="2">
        <v>52</v>
      </c>
      <c r="P50" s="2" t="s">
        <v>115</v>
      </c>
      <c r="Q50" s="2" t="s">
        <v>111</v>
      </c>
      <c r="T50" s="3"/>
    </row>
    <row r="51" spans="4:25" ht="16" customHeight="1">
      <c r="E51" s="13">
        <v>0.26819999999999999</v>
      </c>
      <c r="F51" s="13"/>
      <c r="G51" s="13"/>
      <c r="H51" s="2" t="s">
        <v>116</v>
      </c>
      <c r="L51" s="3">
        <v>799.32680000000005</v>
      </c>
      <c r="M51" s="2">
        <v>2</v>
      </c>
      <c r="N51" s="4" t="s">
        <v>117</v>
      </c>
      <c r="O51" s="2">
        <v>190</v>
      </c>
      <c r="P51" s="2" t="s">
        <v>118</v>
      </c>
      <c r="Q51" s="2" t="s">
        <v>917</v>
      </c>
      <c r="T51" s="3"/>
    </row>
    <row r="52" spans="4:25" ht="16" customHeight="1">
      <c r="L52" s="3">
        <v>916.83209999999997</v>
      </c>
      <c r="M52" s="2">
        <v>2</v>
      </c>
      <c r="N52" s="4" t="s">
        <v>113</v>
      </c>
      <c r="T52" s="3"/>
    </row>
    <row r="53" spans="4:25" ht="16" customHeight="1">
      <c r="L53" s="3">
        <v>980.91880000000003</v>
      </c>
      <c r="M53" s="2">
        <v>2</v>
      </c>
      <c r="N53" s="4" t="s">
        <v>119</v>
      </c>
      <c r="T53" s="3"/>
    </row>
    <row r="54" spans="4:25" ht="16" customHeight="1">
      <c r="E54" s="13">
        <v>0.80459999999999998</v>
      </c>
      <c r="F54" s="13"/>
      <c r="G54" s="13"/>
      <c r="H54" s="2" t="s">
        <v>101</v>
      </c>
      <c r="J54" s="11">
        <v>7347.8</v>
      </c>
      <c r="K54" s="11" t="s">
        <v>120</v>
      </c>
      <c r="L54" s="3">
        <v>903.9</v>
      </c>
      <c r="M54" s="2">
        <v>2</v>
      </c>
      <c r="N54" s="4" t="s">
        <v>104</v>
      </c>
      <c r="O54" s="23" t="s">
        <v>87</v>
      </c>
      <c r="P54" s="23" t="s">
        <v>121</v>
      </c>
      <c r="Q54" s="2" t="s">
        <v>25</v>
      </c>
      <c r="S54" s="85">
        <v>7347.3</v>
      </c>
      <c r="T54" s="85">
        <v>7354.4</v>
      </c>
      <c r="U54" s="85">
        <v>1.2090119909999999E-5</v>
      </c>
      <c r="V54" s="85" t="s">
        <v>25</v>
      </c>
      <c r="W54" s="85" t="s">
        <v>989</v>
      </c>
      <c r="Y54" s="4" t="s">
        <v>122</v>
      </c>
    </row>
    <row r="55" spans="4:25" ht="16" customHeight="1">
      <c r="D55" s="1">
        <v>11</v>
      </c>
      <c r="E55" s="13">
        <v>0.56399999999999995</v>
      </c>
      <c r="F55" s="13"/>
      <c r="G55" s="13"/>
      <c r="H55" s="2" t="s">
        <v>108</v>
      </c>
      <c r="J55" s="11" t="s">
        <v>123</v>
      </c>
      <c r="K55" s="11" t="s">
        <v>124</v>
      </c>
      <c r="L55" s="3">
        <v>487.2115</v>
      </c>
      <c r="M55" s="2">
        <v>2</v>
      </c>
      <c r="N55" s="4" t="s">
        <v>125</v>
      </c>
      <c r="O55" s="2">
        <v>201</v>
      </c>
      <c r="P55" s="10" t="s">
        <v>126</v>
      </c>
      <c r="Q55" s="2" t="s">
        <v>918</v>
      </c>
      <c r="S55" s="2">
        <v>13356.58</v>
      </c>
      <c r="T55" s="24">
        <v>13370.62</v>
      </c>
      <c r="U55" s="243">
        <v>2.0280662189999999E-10</v>
      </c>
      <c r="V55" s="2" t="s">
        <v>127</v>
      </c>
      <c r="W55" s="51" t="s">
        <v>993</v>
      </c>
      <c r="Y55" s="4" t="s">
        <v>129</v>
      </c>
    </row>
    <row r="56" spans="4:25" ht="16" customHeight="1">
      <c r="L56" s="3">
        <v>916.83169999999996</v>
      </c>
      <c r="M56" s="2">
        <v>2</v>
      </c>
      <c r="N56" s="4" t="s">
        <v>113</v>
      </c>
      <c r="O56" s="23"/>
      <c r="T56" s="3"/>
    </row>
    <row r="57" spans="4:25" ht="16" customHeight="1">
      <c r="L57" s="3">
        <v>537.73559999999998</v>
      </c>
      <c r="M57" s="2">
        <v>2</v>
      </c>
      <c r="N57" s="4" t="s">
        <v>112</v>
      </c>
      <c r="O57" s="2">
        <v>118</v>
      </c>
      <c r="P57" s="2" t="s">
        <v>130</v>
      </c>
      <c r="Q57" s="2" t="s">
        <v>917</v>
      </c>
      <c r="T57" s="3"/>
    </row>
    <row r="58" spans="4:25" ht="16" customHeight="1">
      <c r="E58" s="13">
        <v>10.709</v>
      </c>
      <c r="F58" s="13"/>
      <c r="G58" s="13"/>
      <c r="H58" s="2" t="s">
        <v>116</v>
      </c>
      <c r="J58" s="15" t="s">
        <v>131</v>
      </c>
      <c r="K58" s="11" t="s">
        <v>132</v>
      </c>
      <c r="L58" s="3">
        <v>863.37530000000004</v>
      </c>
      <c r="M58" s="2">
        <v>2</v>
      </c>
      <c r="N58" s="4" t="s">
        <v>133</v>
      </c>
      <c r="O58" s="2">
        <v>274</v>
      </c>
      <c r="P58" s="10" t="s">
        <v>134</v>
      </c>
      <c r="Q58" s="2" t="s">
        <v>917</v>
      </c>
      <c r="S58" s="85">
        <v>13333.49</v>
      </c>
      <c r="T58" s="85">
        <v>13347.67</v>
      </c>
      <c r="U58" s="85">
        <v>1.02266E-31</v>
      </c>
      <c r="V58" s="85" t="s">
        <v>111</v>
      </c>
      <c r="W58" s="85" t="s">
        <v>135</v>
      </c>
      <c r="Y58" s="4" t="s">
        <v>136</v>
      </c>
    </row>
    <row r="59" spans="4:25" ht="16" customHeight="1">
      <c r="L59" s="3">
        <v>1258.8531</v>
      </c>
      <c r="M59" s="2">
        <v>3</v>
      </c>
      <c r="N59" s="4" t="s">
        <v>137</v>
      </c>
      <c r="O59" s="23"/>
      <c r="T59" s="3"/>
    </row>
    <row r="60" spans="4:25" ht="16" customHeight="1">
      <c r="L60" s="3">
        <v>501.2482</v>
      </c>
      <c r="M60" s="2">
        <v>2</v>
      </c>
      <c r="N60" s="4" t="s">
        <v>138</v>
      </c>
      <c r="O60" s="2">
        <v>39</v>
      </c>
      <c r="P60" s="2" t="s">
        <v>139</v>
      </c>
      <c r="Q60" s="2" t="s">
        <v>111</v>
      </c>
      <c r="T60" s="3"/>
    </row>
    <row r="61" spans="4:25" ht="16" customHeight="1">
      <c r="D61" s="1">
        <v>12</v>
      </c>
      <c r="E61" s="13">
        <v>4.2299999999999997E-2</v>
      </c>
      <c r="F61" s="13"/>
      <c r="G61" s="13"/>
      <c r="H61" s="2" t="s">
        <v>108</v>
      </c>
      <c r="L61" s="3">
        <v>487.2133</v>
      </c>
      <c r="M61" s="2">
        <v>2</v>
      </c>
      <c r="N61" s="4" t="s">
        <v>125</v>
      </c>
      <c r="O61" s="2">
        <v>218</v>
      </c>
      <c r="P61" s="2" t="s">
        <v>140</v>
      </c>
      <c r="Q61" s="2" t="s">
        <v>918</v>
      </c>
      <c r="T61" s="3"/>
    </row>
    <row r="62" spans="4:25" ht="16" customHeight="1">
      <c r="L62" s="3">
        <v>916.82929999999999</v>
      </c>
      <c r="M62" s="2">
        <v>2</v>
      </c>
      <c r="N62" s="4" t="s">
        <v>113</v>
      </c>
      <c r="O62" s="23"/>
      <c r="T62" s="3"/>
    </row>
    <row r="63" spans="4:25" ht="16" customHeight="1">
      <c r="L63" s="3">
        <v>832.06920000000002</v>
      </c>
      <c r="M63" s="2">
        <v>3</v>
      </c>
      <c r="N63" s="4" t="s">
        <v>141</v>
      </c>
      <c r="T63" s="3"/>
    </row>
    <row r="64" spans="4:25" ht="16" customHeight="1">
      <c r="L64" s="3">
        <v>448.22390000000001</v>
      </c>
      <c r="M64" s="2">
        <v>2</v>
      </c>
      <c r="N64" s="4" t="s">
        <v>109</v>
      </c>
      <c r="O64" s="2">
        <v>167</v>
      </c>
      <c r="P64" s="2" t="s">
        <v>118</v>
      </c>
      <c r="Q64" s="2" t="s">
        <v>917</v>
      </c>
      <c r="T64" s="3"/>
    </row>
    <row r="65" spans="2:25" ht="16" customHeight="1">
      <c r="L65" s="3">
        <v>653.95230000000004</v>
      </c>
      <c r="M65" s="2">
        <v>3</v>
      </c>
      <c r="N65" s="4" t="s">
        <v>119</v>
      </c>
      <c r="T65" s="3"/>
    </row>
    <row r="66" spans="2:25" ht="16" customHeight="1">
      <c r="E66" s="13">
        <v>0.1527916387561</v>
      </c>
      <c r="F66" s="13"/>
      <c r="G66" s="13"/>
      <c r="H66" s="2" t="s">
        <v>116</v>
      </c>
      <c r="J66" s="25"/>
      <c r="L66" s="3">
        <v>916.83309999999994</v>
      </c>
      <c r="M66" s="2">
        <v>2</v>
      </c>
      <c r="N66" s="4" t="s">
        <v>113</v>
      </c>
      <c r="O66" s="2">
        <v>350</v>
      </c>
      <c r="P66" s="2" t="s">
        <v>140</v>
      </c>
      <c r="Q66" s="2" t="s">
        <v>918</v>
      </c>
      <c r="T66" s="3"/>
    </row>
    <row r="67" spans="2:25" ht="16" customHeight="1">
      <c r="L67" s="3">
        <v>1247.5641000000001</v>
      </c>
      <c r="M67" s="2">
        <v>2</v>
      </c>
      <c r="N67" s="4" t="s">
        <v>141</v>
      </c>
      <c r="T67" s="3"/>
    </row>
    <row r="68" spans="2:25" ht="16" customHeight="1">
      <c r="J68" s="25"/>
      <c r="L68" s="3">
        <v>1258.8451</v>
      </c>
      <c r="M68" s="2">
        <v>3</v>
      </c>
      <c r="N68" s="4" t="s">
        <v>137</v>
      </c>
      <c r="T68" s="3"/>
    </row>
    <row r="69" spans="2:25" ht="16" customHeight="1">
      <c r="L69" s="3">
        <v>448.22539999999998</v>
      </c>
      <c r="M69" s="2">
        <v>2</v>
      </c>
      <c r="N69" s="4" t="s">
        <v>109</v>
      </c>
      <c r="O69" s="2">
        <v>279</v>
      </c>
      <c r="P69" s="2" t="s">
        <v>118</v>
      </c>
      <c r="Q69" s="2" t="s">
        <v>917</v>
      </c>
      <c r="T69" s="3"/>
    </row>
    <row r="70" spans="2:25" ht="16" customHeight="1">
      <c r="L70" s="3">
        <v>980.91970000000003</v>
      </c>
      <c r="M70" s="2">
        <v>2</v>
      </c>
      <c r="N70" s="4" t="s">
        <v>119</v>
      </c>
      <c r="T70" s="3"/>
    </row>
    <row r="71" spans="2:25" ht="16" customHeight="1">
      <c r="J71" s="52" t="s">
        <v>779</v>
      </c>
      <c r="K71" s="52" t="s">
        <v>780</v>
      </c>
      <c r="L71" s="3">
        <v>916.83309999999994</v>
      </c>
      <c r="M71" s="2">
        <v>2</v>
      </c>
      <c r="N71" s="4" t="s">
        <v>113</v>
      </c>
      <c r="O71" s="2">
        <v>340</v>
      </c>
      <c r="P71" s="2" t="s">
        <v>927</v>
      </c>
      <c r="Q71" s="2" t="s">
        <v>649</v>
      </c>
      <c r="S71" s="22">
        <v>14199.05</v>
      </c>
      <c r="T71" s="22" t="s">
        <v>776</v>
      </c>
      <c r="U71" s="65">
        <v>1.9563402360000001E-10</v>
      </c>
      <c r="V71" s="22" t="s">
        <v>111</v>
      </c>
      <c r="W71" s="22" t="s">
        <v>128</v>
      </c>
      <c r="Y71" t="s">
        <v>781</v>
      </c>
    </row>
    <row r="72" spans="2:25" ht="16" customHeight="1">
      <c r="J72" s="52"/>
      <c r="K72" s="52"/>
      <c r="L72" s="3">
        <v>1247.5641000000001</v>
      </c>
      <c r="M72" s="2">
        <v>2</v>
      </c>
      <c r="N72" s="4" t="s">
        <v>141</v>
      </c>
      <c r="S72" s="223"/>
      <c r="T72" s="66"/>
      <c r="U72" s="79"/>
      <c r="V72" s="66"/>
      <c r="Y72"/>
    </row>
    <row r="73" spans="2:25" ht="16" customHeight="1">
      <c r="E73" s="13">
        <v>9.2720836124390929E-3</v>
      </c>
      <c r="F73" s="13"/>
      <c r="G73" s="13"/>
      <c r="H73" s="2" t="s">
        <v>116</v>
      </c>
      <c r="J73" s="15">
        <v>13322.21</v>
      </c>
      <c r="K73" s="26">
        <v>13329.2305</v>
      </c>
      <c r="L73" s="3">
        <v>749.6585</v>
      </c>
      <c r="M73" s="2">
        <v>3</v>
      </c>
      <c r="N73" s="4" t="s">
        <v>142</v>
      </c>
      <c r="O73" s="2">
        <v>84</v>
      </c>
      <c r="P73" s="10" t="s">
        <v>143</v>
      </c>
      <c r="Q73" s="2" t="s">
        <v>144</v>
      </c>
      <c r="S73" s="22">
        <v>13328.19</v>
      </c>
      <c r="T73" s="22">
        <v>13334.28</v>
      </c>
      <c r="U73" s="22">
        <v>2.7114000000000001E-36</v>
      </c>
      <c r="V73" s="22" t="s">
        <v>145</v>
      </c>
      <c r="W73" s="22" t="s">
        <v>146</v>
      </c>
      <c r="X73" s="27"/>
      <c r="Y73" s="4" t="s">
        <v>147</v>
      </c>
    </row>
    <row r="74" spans="2:25" ht="16" customHeight="1">
      <c r="J74" s="15">
        <v>13348.59</v>
      </c>
      <c r="K74" s="11">
        <v>13355.61</v>
      </c>
      <c r="L74" s="3">
        <v>601.29409999999996</v>
      </c>
      <c r="M74" s="2">
        <v>2</v>
      </c>
      <c r="N74" s="4" t="s">
        <v>148</v>
      </c>
      <c r="O74" s="2">
        <v>47</v>
      </c>
      <c r="P74" s="10" t="s">
        <v>149</v>
      </c>
      <c r="Q74" s="2" t="s">
        <v>111</v>
      </c>
      <c r="S74" s="24">
        <v>13447</v>
      </c>
      <c r="T74" s="24">
        <v>13460.69</v>
      </c>
      <c r="U74" s="65">
        <v>2.3035500000000001E-14</v>
      </c>
      <c r="V74" s="2" t="s">
        <v>111</v>
      </c>
      <c r="W74" s="2" t="s">
        <v>111</v>
      </c>
      <c r="Y74" s="4" t="s">
        <v>150</v>
      </c>
    </row>
    <row r="75" spans="2:25" ht="16" customHeight="1">
      <c r="B75" s="13"/>
      <c r="E75" s="13">
        <v>0.21149999999999999</v>
      </c>
      <c r="F75" s="13"/>
      <c r="G75" s="13"/>
      <c r="H75" s="2" t="s">
        <v>77</v>
      </c>
      <c r="J75" s="11">
        <v>7378.5</v>
      </c>
      <c r="K75" s="11" t="s">
        <v>151</v>
      </c>
      <c r="L75" s="3">
        <v>432.68720000000002</v>
      </c>
      <c r="M75" s="2">
        <v>2</v>
      </c>
      <c r="N75" s="4" t="s">
        <v>152</v>
      </c>
      <c r="O75" s="2">
        <v>44</v>
      </c>
      <c r="P75" s="23" t="s">
        <v>383</v>
      </c>
      <c r="Q75" s="2" t="s">
        <v>25</v>
      </c>
      <c r="S75" s="16">
        <v>7378</v>
      </c>
      <c r="T75" s="16">
        <v>7388.49</v>
      </c>
      <c r="U75" s="17">
        <v>4.4872080000000002E-21</v>
      </c>
      <c r="V75" s="16" t="s">
        <v>25</v>
      </c>
      <c r="W75" s="66" t="s">
        <v>75</v>
      </c>
      <c r="Y75" s="4" t="s">
        <v>105</v>
      </c>
    </row>
    <row r="76" spans="2:25" ht="16" customHeight="1">
      <c r="B76" s="13"/>
      <c r="E76" s="13"/>
      <c r="F76" s="13"/>
      <c r="G76" s="13"/>
      <c r="J76" s="11">
        <v>7329.2</v>
      </c>
      <c r="K76" s="11">
        <v>7333.3</v>
      </c>
      <c r="L76" s="48">
        <v>598.79999999999995</v>
      </c>
      <c r="M76" s="51">
        <v>2</v>
      </c>
      <c r="N76" s="50" t="s">
        <v>89</v>
      </c>
      <c r="O76" s="51">
        <v>69</v>
      </c>
      <c r="P76" s="51" t="s">
        <v>434</v>
      </c>
      <c r="Q76" s="46" t="s">
        <v>928</v>
      </c>
      <c r="R76" s="49"/>
      <c r="S76" s="22">
        <v>7239.23</v>
      </c>
      <c r="T76" s="22">
        <v>7339.23</v>
      </c>
      <c r="U76" s="22">
        <v>8.8526000000000003E-29</v>
      </c>
      <c r="V76" s="22" t="s">
        <v>492</v>
      </c>
      <c r="W76" s="22" t="s">
        <v>503</v>
      </c>
      <c r="X76" s="51"/>
      <c r="Y76" s="50" t="s">
        <v>504</v>
      </c>
    </row>
    <row r="77" spans="2:25" ht="16" customHeight="1">
      <c r="B77" s="13"/>
      <c r="E77" s="13"/>
      <c r="F77" s="13"/>
      <c r="G77" s="13"/>
      <c r="J77" s="240" t="s">
        <v>381</v>
      </c>
      <c r="K77" s="94" t="s">
        <v>378</v>
      </c>
      <c r="L77" s="48"/>
      <c r="M77" s="51"/>
      <c r="N77" s="50"/>
      <c r="O77" s="51"/>
      <c r="P77" s="51"/>
      <c r="Q77" s="2" t="s">
        <v>111</v>
      </c>
      <c r="R77" s="49"/>
      <c r="S77" s="22">
        <v>13335.54</v>
      </c>
      <c r="T77" s="22">
        <v>13349.65</v>
      </c>
      <c r="U77" s="22">
        <v>5.0512000000000003E-30</v>
      </c>
      <c r="V77" s="22" t="s">
        <v>111</v>
      </c>
      <c r="W77" s="85" t="s">
        <v>571</v>
      </c>
      <c r="X77" s="43"/>
      <c r="Y77" s="43" t="s">
        <v>943</v>
      </c>
    </row>
    <row r="78" spans="2:25" ht="16" customHeight="1">
      <c r="D78" s="1">
        <v>13</v>
      </c>
      <c r="E78" s="13">
        <v>14.071</v>
      </c>
      <c r="F78" s="13"/>
      <c r="G78" s="13"/>
      <c r="H78" s="2" t="s">
        <v>116</v>
      </c>
      <c r="J78" s="15" t="s">
        <v>153</v>
      </c>
      <c r="K78" s="11" t="s">
        <v>154</v>
      </c>
      <c r="L78" s="3">
        <v>916.83410000000003</v>
      </c>
      <c r="M78" s="2">
        <v>2</v>
      </c>
      <c r="N78" s="4" t="s">
        <v>113</v>
      </c>
      <c r="O78" s="2">
        <v>319</v>
      </c>
      <c r="P78" s="10" t="s">
        <v>149</v>
      </c>
      <c r="Q78" s="2" t="s">
        <v>111</v>
      </c>
      <c r="S78" s="22"/>
      <c r="T78" s="22"/>
      <c r="U78" s="22"/>
      <c r="V78" s="22"/>
      <c r="W78" s="85"/>
      <c r="Y78" s="4"/>
    </row>
    <row r="79" spans="2:25" ht="16" customHeight="1">
      <c r="L79" s="3">
        <v>1247.6011000000001</v>
      </c>
      <c r="M79" s="2">
        <v>2</v>
      </c>
      <c r="N79" s="4" t="s">
        <v>141</v>
      </c>
      <c r="T79" s="3"/>
    </row>
    <row r="80" spans="2:25" ht="16" customHeight="1">
      <c r="L80" s="3">
        <v>1258.8534999999999</v>
      </c>
      <c r="M80" s="2">
        <v>3</v>
      </c>
      <c r="N80" s="4" t="s">
        <v>137</v>
      </c>
      <c r="O80" s="23"/>
      <c r="T80" s="3"/>
    </row>
    <row r="81" spans="4:20" ht="16" customHeight="1">
      <c r="D81" s="1">
        <v>14</v>
      </c>
      <c r="E81" s="13">
        <v>8.0600000000000005E-2</v>
      </c>
      <c r="F81" s="13"/>
      <c r="G81" s="13"/>
      <c r="H81" s="2" t="s">
        <v>155</v>
      </c>
      <c r="O81" s="23"/>
      <c r="Q81" s="2" t="s">
        <v>156</v>
      </c>
      <c r="T81" s="3"/>
    </row>
    <row r="82" spans="4:20" ht="16" customHeight="1">
      <c r="E82" s="13">
        <v>0.16120000000000001</v>
      </c>
      <c r="F82" s="13"/>
      <c r="G82" s="13"/>
      <c r="H82" s="2" t="s">
        <v>157</v>
      </c>
      <c r="L82" s="3">
        <v>451.23899999999998</v>
      </c>
      <c r="M82" s="2">
        <v>2</v>
      </c>
      <c r="N82" s="4" t="s">
        <v>158</v>
      </c>
      <c r="O82" s="2">
        <v>84</v>
      </c>
      <c r="P82" s="2" t="s">
        <v>159</v>
      </c>
      <c r="Q82" s="2" t="s">
        <v>160</v>
      </c>
      <c r="S82" s="16"/>
      <c r="T82" s="3"/>
    </row>
    <row r="83" spans="4:20" ht="16" customHeight="1">
      <c r="L83" s="3">
        <v>856.8836</v>
      </c>
      <c r="M83" s="2">
        <v>2</v>
      </c>
      <c r="N83" s="4" t="s">
        <v>161</v>
      </c>
      <c r="O83" s="23"/>
      <c r="T83" s="3"/>
    </row>
    <row r="84" spans="4:20" ht="16" customHeight="1">
      <c r="E84" s="13">
        <v>0.16120000000000001</v>
      </c>
      <c r="F84" s="13"/>
      <c r="G84" s="13"/>
      <c r="H84" s="2" t="s">
        <v>77</v>
      </c>
      <c r="J84" s="3" t="s">
        <v>162</v>
      </c>
      <c r="K84" s="3" t="s">
        <v>163</v>
      </c>
      <c r="Q84" s="2" t="s">
        <v>164</v>
      </c>
      <c r="T84" s="3"/>
    </row>
    <row r="85" spans="4:20" ht="16" customHeight="1">
      <c r="D85" s="1">
        <v>15</v>
      </c>
      <c r="E85" s="13">
        <v>1.9950000000000002E-2</v>
      </c>
      <c r="F85" s="13"/>
      <c r="G85" s="13"/>
      <c r="H85" s="2" t="s">
        <v>165</v>
      </c>
      <c r="Q85" s="2" t="s">
        <v>166</v>
      </c>
      <c r="T85" s="3"/>
    </row>
    <row r="86" spans="4:20" ht="16" customHeight="1">
      <c r="E86" s="13">
        <v>0.13965</v>
      </c>
      <c r="F86" s="13"/>
      <c r="G86" s="13"/>
      <c r="H86" s="2" t="s">
        <v>167</v>
      </c>
      <c r="Q86" s="2" t="s">
        <v>166</v>
      </c>
      <c r="T86" s="3"/>
    </row>
    <row r="87" spans="4:20" ht="16" customHeight="1">
      <c r="E87" s="13">
        <v>0.15960000000000002</v>
      </c>
      <c r="F87" s="13"/>
      <c r="G87" s="13"/>
      <c r="H87" s="2" t="s">
        <v>168</v>
      </c>
      <c r="Q87" s="2" t="s">
        <v>166</v>
      </c>
      <c r="T87" s="3"/>
    </row>
    <row r="88" spans="4:20" ht="16" customHeight="1">
      <c r="E88" s="13">
        <v>7.980000000000001E-2</v>
      </c>
      <c r="F88" s="13"/>
      <c r="G88" s="13"/>
      <c r="H88" s="2" t="s">
        <v>77</v>
      </c>
      <c r="J88" s="3" t="s">
        <v>169</v>
      </c>
      <c r="K88" s="3" t="s">
        <v>170</v>
      </c>
      <c r="Q88" s="2" t="s">
        <v>164</v>
      </c>
      <c r="T88" s="3"/>
    </row>
    <row r="89" spans="4:20" ht="16" customHeight="1">
      <c r="D89" s="1">
        <v>16</v>
      </c>
      <c r="E89" s="13">
        <v>0.39340000000000003</v>
      </c>
      <c r="F89" s="13"/>
      <c r="G89" s="13"/>
      <c r="H89" s="2" t="s">
        <v>171</v>
      </c>
      <c r="L89" s="3">
        <v>649.27589999999998</v>
      </c>
      <c r="M89" s="2">
        <v>2</v>
      </c>
      <c r="N89" s="4" t="s">
        <v>172</v>
      </c>
      <c r="O89" s="2">
        <v>51</v>
      </c>
      <c r="P89" s="23" t="s">
        <v>173</v>
      </c>
      <c r="Q89" s="2" t="s">
        <v>166</v>
      </c>
      <c r="T89" s="3"/>
    </row>
    <row r="90" spans="4:20" ht="16" customHeight="1">
      <c r="E90" s="13">
        <v>1.1472</v>
      </c>
      <c r="F90" s="13"/>
      <c r="G90" s="13"/>
      <c r="H90" s="2" t="s">
        <v>174</v>
      </c>
      <c r="L90" s="3">
        <v>694.85680000000002</v>
      </c>
      <c r="M90" s="2">
        <v>2</v>
      </c>
      <c r="N90" s="4" t="s">
        <v>175</v>
      </c>
      <c r="O90" s="2">
        <v>178</v>
      </c>
      <c r="P90" s="2" t="s">
        <v>176</v>
      </c>
      <c r="Q90" s="2" t="s">
        <v>166</v>
      </c>
      <c r="T90" s="3"/>
    </row>
    <row r="91" spans="4:20" ht="16" customHeight="1">
      <c r="L91" s="3">
        <v>758.90359999999998</v>
      </c>
      <c r="M91" s="2">
        <v>2</v>
      </c>
      <c r="N91" s="4" t="s">
        <v>177</v>
      </c>
      <c r="T91" s="3"/>
    </row>
    <row r="92" spans="4:20" ht="16" customHeight="1">
      <c r="L92" s="3">
        <v>649.27700000000004</v>
      </c>
      <c r="M92" s="2">
        <v>2</v>
      </c>
      <c r="N92" s="4" t="s">
        <v>172</v>
      </c>
      <c r="O92" s="2">
        <v>80</v>
      </c>
      <c r="P92" s="23" t="s">
        <v>173</v>
      </c>
      <c r="Q92" s="2" t="s">
        <v>166</v>
      </c>
      <c r="T92" s="3"/>
    </row>
    <row r="93" spans="4:20" ht="16" customHeight="1">
      <c r="E93" s="13">
        <v>0.39340000000000003</v>
      </c>
      <c r="F93" s="13"/>
      <c r="G93" s="13"/>
      <c r="H93" s="2" t="s">
        <v>178</v>
      </c>
      <c r="L93" s="3">
        <v>758.90340000000003</v>
      </c>
      <c r="M93" s="2">
        <v>2</v>
      </c>
      <c r="N93" s="4" t="s">
        <v>177</v>
      </c>
      <c r="O93" s="2">
        <v>94</v>
      </c>
      <c r="P93" s="2" t="s">
        <v>176</v>
      </c>
      <c r="Q93" s="2" t="s">
        <v>166</v>
      </c>
      <c r="T93" s="3"/>
    </row>
    <row r="94" spans="4:20" ht="16" customHeight="1">
      <c r="D94" s="1">
        <v>17</v>
      </c>
      <c r="E94" s="13">
        <v>2.9600000000000001E-2</v>
      </c>
      <c r="F94" s="13"/>
      <c r="G94" s="13"/>
      <c r="H94" s="2" t="s">
        <v>179</v>
      </c>
      <c r="L94" s="3">
        <v>758.90340000000003</v>
      </c>
      <c r="M94" s="2">
        <v>2</v>
      </c>
      <c r="N94" s="4" t="s">
        <v>177</v>
      </c>
      <c r="O94" s="2">
        <v>76</v>
      </c>
      <c r="P94" s="2" t="s">
        <v>176</v>
      </c>
      <c r="Q94" s="2" t="s">
        <v>166</v>
      </c>
      <c r="T94" s="3"/>
    </row>
    <row r="95" spans="4:20" ht="16" customHeight="1">
      <c r="E95" s="13">
        <v>2.9600000000000001E-2</v>
      </c>
      <c r="F95" s="13"/>
      <c r="G95" s="13"/>
      <c r="H95" s="2" t="s">
        <v>174</v>
      </c>
      <c r="L95" s="3">
        <v>758.90340000000003</v>
      </c>
      <c r="M95" s="2">
        <v>2</v>
      </c>
      <c r="N95" s="4" t="s">
        <v>177</v>
      </c>
      <c r="O95" s="2">
        <v>81</v>
      </c>
      <c r="P95" s="2" t="s">
        <v>176</v>
      </c>
      <c r="Q95" s="2" t="s">
        <v>166</v>
      </c>
      <c r="T95" s="3"/>
    </row>
    <row r="96" spans="4:20" ht="16" customHeight="1">
      <c r="E96" s="13">
        <v>1.4800000000000001E-2</v>
      </c>
      <c r="F96" s="13"/>
      <c r="G96" s="13"/>
      <c r="H96" s="2" t="s">
        <v>180</v>
      </c>
      <c r="L96" s="3">
        <v>598.32579999999996</v>
      </c>
      <c r="M96" s="2">
        <v>2</v>
      </c>
      <c r="N96" s="4" t="s">
        <v>181</v>
      </c>
      <c r="O96" s="2">
        <v>185</v>
      </c>
      <c r="P96" s="2" t="s">
        <v>182</v>
      </c>
      <c r="Q96" s="2" t="s">
        <v>183</v>
      </c>
      <c r="T96" s="3"/>
    </row>
    <row r="97" spans="4:20" ht="16" customHeight="1">
      <c r="E97" s="13">
        <v>2.9600000000000001E-2</v>
      </c>
      <c r="F97" s="13"/>
      <c r="G97" s="13"/>
      <c r="H97" s="2" t="s">
        <v>178</v>
      </c>
      <c r="L97" s="3">
        <v>918.79089999999997</v>
      </c>
      <c r="M97" s="2">
        <v>2</v>
      </c>
      <c r="N97" s="4" t="s">
        <v>184</v>
      </c>
      <c r="O97" s="2">
        <v>243</v>
      </c>
      <c r="P97" s="2" t="s">
        <v>182</v>
      </c>
      <c r="Q97" s="2" t="s">
        <v>183</v>
      </c>
      <c r="T97" s="3"/>
    </row>
    <row r="98" spans="4:20" ht="16" customHeight="1">
      <c r="L98" s="3">
        <v>575.7921</v>
      </c>
      <c r="M98" s="2">
        <v>2</v>
      </c>
      <c r="N98" s="4" t="s">
        <v>185</v>
      </c>
      <c r="T98" s="3"/>
    </row>
    <row r="99" spans="4:20" ht="16" customHeight="1">
      <c r="L99" s="3">
        <v>598.32370000000003</v>
      </c>
      <c r="M99" s="2">
        <v>2</v>
      </c>
      <c r="N99" s="4" t="s">
        <v>181</v>
      </c>
      <c r="T99" s="3"/>
    </row>
    <row r="100" spans="4:20" ht="16" customHeight="1">
      <c r="L100" s="3">
        <v>484.60230000000001</v>
      </c>
      <c r="M100" s="2">
        <v>2</v>
      </c>
      <c r="N100" s="4" t="s">
        <v>186</v>
      </c>
      <c r="T100" s="3"/>
    </row>
    <row r="101" spans="4:20" ht="16" customHeight="1">
      <c r="L101" s="3">
        <v>611.6377</v>
      </c>
      <c r="M101" s="2">
        <v>2</v>
      </c>
      <c r="N101" s="4" t="s">
        <v>187</v>
      </c>
      <c r="T101" s="3"/>
    </row>
    <row r="102" spans="4:20" ht="16" customHeight="1">
      <c r="L102" s="3">
        <v>918.79100000000005</v>
      </c>
      <c r="M102" s="2">
        <v>3</v>
      </c>
      <c r="N102" s="4" t="s">
        <v>184</v>
      </c>
      <c r="T102" s="3"/>
    </row>
    <row r="103" spans="4:20" ht="16" customHeight="1">
      <c r="E103" s="13">
        <v>4.4399999999999995E-2</v>
      </c>
      <c r="F103" s="13"/>
      <c r="G103" s="13"/>
      <c r="H103" s="2" t="s">
        <v>188</v>
      </c>
      <c r="K103" s="3">
        <v>24949</v>
      </c>
      <c r="L103" s="3">
        <v>598.32399999999996</v>
      </c>
      <c r="M103" s="2">
        <v>2</v>
      </c>
      <c r="N103" s="4" t="s">
        <v>181</v>
      </c>
      <c r="O103" s="2">
        <v>247</v>
      </c>
      <c r="P103" s="2" t="s">
        <v>182</v>
      </c>
      <c r="Q103" s="2" t="s">
        <v>183</v>
      </c>
      <c r="T103" s="3"/>
    </row>
    <row r="104" spans="4:20" ht="16" customHeight="1">
      <c r="L104" s="3">
        <v>726.4</v>
      </c>
      <c r="M104" s="2">
        <v>2</v>
      </c>
      <c r="N104" s="4" t="s">
        <v>186</v>
      </c>
      <c r="T104" s="3"/>
    </row>
    <row r="105" spans="4:20" ht="16" customHeight="1">
      <c r="L105" s="3">
        <v>916.45309999999995</v>
      </c>
      <c r="M105" s="2">
        <v>2</v>
      </c>
      <c r="N105" s="4" t="s">
        <v>187</v>
      </c>
      <c r="T105" s="3"/>
    </row>
    <row r="106" spans="4:20" ht="16" customHeight="1">
      <c r="L106" s="3">
        <v>918.79269999999997</v>
      </c>
      <c r="M106" s="2">
        <v>3</v>
      </c>
      <c r="N106" s="4" t="s">
        <v>184</v>
      </c>
      <c r="T106" s="3"/>
    </row>
    <row r="107" spans="4:20" ht="16" customHeight="1">
      <c r="D107" s="1">
        <v>18</v>
      </c>
      <c r="E107" s="13">
        <v>0.11254999999999998</v>
      </c>
      <c r="F107" s="13"/>
      <c r="G107" s="13"/>
      <c r="H107" s="2" t="s">
        <v>174</v>
      </c>
      <c r="L107" s="3">
        <v>758.90340000000003</v>
      </c>
      <c r="M107" s="2">
        <v>2</v>
      </c>
      <c r="N107" s="4" t="s">
        <v>177</v>
      </c>
      <c r="O107" s="23" t="s">
        <v>87</v>
      </c>
      <c r="P107" s="2" t="s">
        <v>176</v>
      </c>
      <c r="Q107" s="2" t="s">
        <v>166</v>
      </c>
      <c r="T107" s="3"/>
    </row>
    <row r="108" spans="4:20" ht="16" customHeight="1">
      <c r="E108" s="13">
        <v>0.56274999999999997</v>
      </c>
      <c r="F108" s="13"/>
      <c r="G108" s="13"/>
      <c r="H108" s="2" t="s">
        <v>189</v>
      </c>
      <c r="L108" s="3">
        <v>567.79499999999996</v>
      </c>
      <c r="M108" s="2">
        <v>2</v>
      </c>
      <c r="N108" s="4" t="s">
        <v>190</v>
      </c>
      <c r="O108" s="2">
        <v>163</v>
      </c>
      <c r="P108" s="2" t="s">
        <v>182</v>
      </c>
      <c r="Q108" s="2" t="s">
        <v>183</v>
      </c>
      <c r="T108" s="3"/>
    </row>
    <row r="109" spans="4:20" ht="16" customHeight="1">
      <c r="L109" s="3">
        <v>598.32470000000001</v>
      </c>
      <c r="M109" s="2">
        <v>2</v>
      </c>
      <c r="N109" s="4" t="s">
        <v>181</v>
      </c>
      <c r="T109" s="3"/>
    </row>
    <row r="110" spans="4:20" ht="16" customHeight="1">
      <c r="L110" s="3">
        <v>916.45249999999999</v>
      </c>
      <c r="M110" s="2">
        <v>2</v>
      </c>
      <c r="N110" s="4" t="s">
        <v>187</v>
      </c>
      <c r="T110" s="3"/>
    </row>
    <row r="111" spans="4:20" ht="16" customHeight="1">
      <c r="E111" s="13">
        <v>0.22509999999999997</v>
      </c>
      <c r="F111" s="13"/>
      <c r="G111" s="13"/>
      <c r="H111" s="2" t="s">
        <v>178</v>
      </c>
      <c r="L111" s="3">
        <v>567.79499999999996</v>
      </c>
      <c r="M111" s="2">
        <v>2</v>
      </c>
      <c r="N111" s="4" t="s">
        <v>190</v>
      </c>
      <c r="O111" s="2">
        <v>178</v>
      </c>
      <c r="P111" s="2" t="s">
        <v>182</v>
      </c>
      <c r="Q111" s="2" t="s">
        <v>183</v>
      </c>
      <c r="T111" s="3"/>
    </row>
    <row r="112" spans="4:20" ht="16" customHeight="1">
      <c r="L112" s="3">
        <v>598.32470000000001</v>
      </c>
      <c r="M112" s="2">
        <v>2</v>
      </c>
      <c r="N112" s="4" t="s">
        <v>181</v>
      </c>
      <c r="T112" s="3"/>
    </row>
    <row r="113" spans="4:20" ht="16" customHeight="1">
      <c r="L113" s="3">
        <v>918.79420000000005</v>
      </c>
      <c r="M113" s="2">
        <v>3</v>
      </c>
      <c r="N113" s="4" t="s">
        <v>184</v>
      </c>
      <c r="T113" s="3"/>
    </row>
    <row r="114" spans="4:20" ht="16" customHeight="1">
      <c r="L114" s="3">
        <v>584.79999999999995</v>
      </c>
      <c r="M114" s="2">
        <v>2</v>
      </c>
      <c r="N114" s="4" t="s">
        <v>191</v>
      </c>
      <c r="O114" s="2">
        <v>101</v>
      </c>
      <c r="P114" s="2" t="s">
        <v>192</v>
      </c>
      <c r="Q114" s="2" t="s">
        <v>183</v>
      </c>
      <c r="T114" s="3"/>
    </row>
    <row r="115" spans="4:20" ht="16" customHeight="1">
      <c r="E115" s="13">
        <v>1.1254999999999999</v>
      </c>
      <c r="F115" s="13"/>
      <c r="G115" s="13"/>
      <c r="H115" s="2" t="s">
        <v>188</v>
      </c>
      <c r="L115" s="3">
        <v>597.80799999999999</v>
      </c>
      <c r="M115" s="2">
        <v>2</v>
      </c>
      <c r="N115" s="4" t="s">
        <v>181</v>
      </c>
      <c r="O115" s="2">
        <v>210</v>
      </c>
      <c r="P115" s="2" t="s">
        <v>182</v>
      </c>
      <c r="Q115" s="2" t="s">
        <v>183</v>
      </c>
      <c r="T115" s="3"/>
    </row>
    <row r="116" spans="4:20" ht="16" customHeight="1">
      <c r="L116" s="3">
        <v>916.45309999999995</v>
      </c>
      <c r="M116" s="2">
        <v>2</v>
      </c>
      <c r="N116" s="4" t="s">
        <v>187</v>
      </c>
      <c r="T116" s="3"/>
    </row>
    <row r="117" spans="4:20" ht="16" customHeight="1">
      <c r="L117" s="3">
        <v>918.79420000000005</v>
      </c>
      <c r="M117" s="2">
        <v>3</v>
      </c>
      <c r="N117" s="4" t="s">
        <v>184</v>
      </c>
      <c r="T117" s="3"/>
    </row>
    <row r="118" spans="4:20" ht="16" customHeight="1">
      <c r="E118" s="13">
        <v>0.22509999999999997</v>
      </c>
      <c r="F118" s="13"/>
      <c r="G118" s="13"/>
      <c r="H118" s="2" t="s">
        <v>193</v>
      </c>
      <c r="K118" s="3">
        <v>24917</v>
      </c>
      <c r="L118" s="3">
        <v>567.79480000000001</v>
      </c>
      <c r="M118" s="2">
        <v>2</v>
      </c>
      <c r="N118" s="4" t="s">
        <v>190</v>
      </c>
      <c r="O118" s="2">
        <v>314</v>
      </c>
      <c r="P118" s="2" t="s">
        <v>182</v>
      </c>
      <c r="Q118" s="2" t="s">
        <v>183</v>
      </c>
      <c r="T118" s="3"/>
    </row>
    <row r="119" spans="4:20" ht="16" customHeight="1">
      <c r="L119" s="3">
        <v>598.32500000000005</v>
      </c>
      <c r="M119" s="2">
        <v>2</v>
      </c>
      <c r="N119" s="4" t="s">
        <v>181</v>
      </c>
      <c r="T119" s="3"/>
    </row>
    <row r="120" spans="4:20" ht="16" customHeight="1">
      <c r="L120" s="3">
        <v>484.60270000000003</v>
      </c>
      <c r="M120" s="2">
        <v>3</v>
      </c>
      <c r="N120" s="4" t="s">
        <v>186</v>
      </c>
      <c r="T120" s="3"/>
    </row>
    <row r="121" spans="4:20" ht="16" customHeight="1">
      <c r="L121" s="3">
        <v>611.6386</v>
      </c>
      <c r="M121" s="2">
        <v>2</v>
      </c>
      <c r="N121" s="4" t="s">
        <v>187</v>
      </c>
      <c r="T121" s="3"/>
    </row>
    <row r="122" spans="4:20" ht="16" customHeight="1">
      <c r="L122" s="3">
        <v>918.79259999999999</v>
      </c>
      <c r="M122" s="2">
        <v>3</v>
      </c>
      <c r="N122" s="4" t="s">
        <v>184</v>
      </c>
      <c r="T122" s="3"/>
    </row>
    <row r="123" spans="4:20" ht="16" customHeight="1">
      <c r="D123" s="1">
        <v>19</v>
      </c>
      <c r="E123" s="13">
        <v>8.5750000000000007E-2</v>
      </c>
      <c r="F123" s="13"/>
      <c r="G123" s="13"/>
      <c r="H123" s="2" t="s">
        <v>171</v>
      </c>
      <c r="L123" s="3">
        <v>441.7</v>
      </c>
      <c r="M123" s="2">
        <v>4</v>
      </c>
      <c r="N123" s="4" t="s">
        <v>194</v>
      </c>
      <c r="O123" s="2">
        <v>69</v>
      </c>
      <c r="P123" s="2" t="s">
        <v>195</v>
      </c>
      <c r="Q123" s="2" t="s">
        <v>166</v>
      </c>
      <c r="T123" s="3"/>
    </row>
    <row r="124" spans="4:20" ht="16" customHeight="1">
      <c r="L124" s="3">
        <v>649.27779999999996</v>
      </c>
      <c r="M124" s="2">
        <v>2</v>
      </c>
      <c r="N124" s="4" t="s">
        <v>172</v>
      </c>
      <c r="O124" s="2">
        <v>44</v>
      </c>
      <c r="P124" s="23" t="s">
        <v>173</v>
      </c>
      <c r="Q124" s="2" t="s">
        <v>166</v>
      </c>
      <c r="T124" s="3"/>
    </row>
    <row r="125" spans="4:20" ht="16" customHeight="1">
      <c r="E125" s="13">
        <v>8.5750000000000007E-2</v>
      </c>
      <c r="F125" s="13"/>
      <c r="G125" s="13"/>
      <c r="H125" s="2" t="s">
        <v>174</v>
      </c>
      <c r="L125" s="3">
        <v>649.27779999999996</v>
      </c>
      <c r="M125" s="2">
        <v>2</v>
      </c>
      <c r="N125" s="4" t="s">
        <v>172</v>
      </c>
      <c r="O125" s="2">
        <v>83</v>
      </c>
      <c r="P125" s="23" t="s">
        <v>173</v>
      </c>
      <c r="Q125" s="2" t="s">
        <v>166</v>
      </c>
      <c r="T125" s="3"/>
    </row>
    <row r="126" spans="4:20" ht="16" customHeight="1">
      <c r="E126" s="13">
        <v>0.17150000000000001</v>
      </c>
      <c r="F126" s="13"/>
      <c r="G126" s="13"/>
      <c r="H126" s="2" t="s">
        <v>196</v>
      </c>
      <c r="L126" s="3">
        <v>708.85990000000004</v>
      </c>
      <c r="M126" s="2">
        <v>2</v>
      </c>
      <c r="N126" s="4" t="s">
        <v>197</v>
      </c>
      <c r="O126" s="2">
        <v>93</v>
      </c>
      <c r="P126" s="2" t="s">
        <v>198</v>
      </c>
      <c r="Q126" s="2" t="s">
        <v>166</v>
      </c>
      <c r="T126" s="3"/>
    </row>
    <row r="127" spans="4:20" ht="16" customHeight="1">
      <c r="E127" s="13">
        <v>0.15185698939762937</v>
      </c>
      <c r="F127" s="13"/>
      <c r="G127" s="13"/>
      <c r="H127" s="2" t="s">
        <v>199</v>
      </c>
      <c r="L127" s="3">
        <v>567.79369999999994</v>
      </c>
      <c r="M127" s="2">
        <v>2</v>
      </c>
      <c r="N127" s="4" t="s">
        <v>190</v>
      </c>
      <c r="O127" s="2">
        <v>226</v>
      </c>
      <c r="P127" s="2" t="s">
        <v>182</v>
      </c>
      <c r="Q127" s="2" t="s">
        <v>183</v>
      </c>
      <c r="T127" s="3"/>
    </row>
    <row r="128" spans="4:20" ht="16" customHeight="1">
      <c r="L128" s="3">
        <v>598.32479999999998</v>
      </c>
      <c r="M128" s="2">
        <v>2</v>
      </c>
      <c r="N128" s="4" t="s">
        <v>181</v>
      </c>
      <c r="T128" s="3"/>
    </row>
    <row r="129" spans="4:20" ht="16" customHeight="1">
      <c r="L129" s="3">
        <v>916.452</v>
      </c>
      <c r="M129" s="2">
        <v>2</v>
      </c>
      <c r="N129" s="4" t="s">
        <v>187</v>
      </c>
      <c r="T129" s="3"/>
    </row>
    <row r="130" spans="4:20" ht="16" customHeight="1">
      <c r="E130" s="13">
        <v>1.9643010602370635E-2</v>
      </c>
      <c r="F130" s="13"/>
      <c r="G130" s="13"/>
      <c r="H130" s="2" t="s">
        <v>199</v>
      </c>
      <c r="L130" s="3">
        <v>832.06939999999997</v>
      </c>
      <c r="M130" s="2">
        <v>3</v>
      </c>
      <c r="N130" s="4" t="s">
        <v>141</v>
      </c>
      <c r="O130" s="2">
        <v>87</v>
      </c>
      <c r="P130" s="2" t="s">
        <v>200</v>
      </c>
      <c r="Q130" s="2" t="s">
        <v>111</v>
      </c>
      <c r="T130" s="3"/>
    </row>
    <row r="131" spans="4:20" ht="16" customHeight="1">
      <c r="E131" s="13">
        <v>0.17150000000000001</v>
      </c>
      <c r="F131" s="13"/>
      <c r="G131" s="13"/>
      <c r="H131" s="2" t="s">
        <v>201</v>
      </c>
      <c r="L131" s="3">
        <v>575.79129999999998</v>
      </c>
      <c r="M131" s="2">
        <v>2</v>
      </c>
      <c r="N131" s="4" t="s">
        <v>185</v>
      </c>
      <c r="O131" s="2">
        <v>176</v>
      </c>
      <c r="P131" s="2" t="s">
        <v>182</v>
      </c>
      <c r="Q131" s="2" t="s">
        <v>183</v>
      </c>
      <c r="T131" s="3"/>
    </row>
    <row r="132" spans="4:20" ht="16" customHeight="1">
      <c r="L132" s="3">
        <v>598.3252</v>
      </c>
      <c r="M132" s="2">
        <v>2</v>
      </c>
      <c r="N132" s="4" t="s">
        <v>181</v>
      </c>
      <c r="T132" s="3"/>
    </row>
    <row r="133" spans="4:20" ht="16" customHeight="1">
      <c r="L133" s="3">
        <v>634.26649999999995</v>
      </c>
      <c r="M133" s="2">
        <v>2</v>
      </c>
      <c r="N133" s="4" t="s">
        <v>202</v>
      </c>
      <c r="O133" s="2">
        <v>103</v>
      </c>
      <c r="P133" s="2" t="s">
        <v>203</v>
      </c>
      <c r="Q133" s="2" t="s">
        <v>183</v>
      </c>
      <c r="T133" s="3"/>
    </row>
    <row r="134" spans="4:20" ht="16" customHeight="1">
      <c r="E134" s="13">
        <v>0.51450000000000007</v>
      </c>
      <c r="F134" s="13"/>
      <c r="G134" s="13"/>
      <c r="H134" s="2" t="s">
        <v>188</v>
      </c>
      <c r="L134" s="3">
        <v>598.32640000000004</v>
      </c>
      <c r="M134" s="2">
        <v>2</v>
      </c>
      <c r="N134" s="4" t="s">
        <v>181</v>
      </c>
      <c r="O134" s="2">
        <v>258</v>
      </c>
      <c r="P134" s="2" t="s">
        <v>182</v>
      </c>
      <c r="Q134" s="2" t="s">
        <v>183</v>
      </c>
      <c r="T134" s="3"/>
    </row>
    <row r="135" spans="4:20" ht="16" customHeight="1">
      <c r="L135" s="3">
        <v>916.45349999999996</v>
      </c>
      <c r="M135" s="2">
        <v>2</v>
      </c>
      <c r="N135" s="4" t="s">
        <v>187</v>
      </c>
      <c r="T135" s="3"/>
    </row>
    <row r="136" spans="4:20" ht="16" customHeight="1">
      <c r="L136" s="3">
        <v>919.12829999999997</v>
      </c>
      <c r="M136" s="2">
        <v>3</v>
      </c>
      <c r="N136" s="4" t="s">
        <v>184</v>
      </c>
      <c r="T136" s="3"/>
    </row>
    <row r="137" spans="4:20" ht="16" customHeight="1">
      <c r="L137" s="3">
        <v>585.25829999999996</v>
      </c>
      <c r="M137" s="2">
        <v>2</v>
      </c>
      <c r="N137" s="4" t="s">
        <v>191</v>
      </c>
      <c r="O137" s="2">
        <v>138</v>
      </c>
      <c r="P137" s="2" t="s">
        <v>204</v>
      </c>
      <c r="Q137" s="2" t="s">
        <v>183</v>
      </c>
      <c r="T137" s="3"/>
    </row>
    <row r="138" spans="4:20" ht="16" customHeight="1">
      <c r="E138" s="13">
        <v>0.51450000000000007</v>
      </c>
      <c r="F138" s="13"/>
      <c r="G138" s="13"/>
      <c r="H138" s="2" t="s">
        <v>193</v>
      </c>
      <c r="K138" s="3" t="s">
        <v>205</v>
      </c>
      <c r="L138" s="3">
        <v>597.80930000000001</v>
      </c>
      <c r="M138" s="2">
        <v>2</v>
      </c>
      <c r="N138" s="4" t="s">
        <v>181</v>
      </c>
      <c r="O138" s="2">
        <v>270</v>
      </c>
      <c r="P138" s="2" t="s">
        <v>182</v>
      </c>
      <c r="Q138" s="2" t="s">
        <v>183</v>
      </c>
      <c r="T138" s="3"/>
    </row>
    <row r="139" spans="4:20" ht="16" customHeight="1">
      <c r="J139" s="2"/>
      <c r="K139" s="2"/>
      <c r="L139" s="3">
        <v>611.63869999999997</v>
      </c>
      <c r="M139" s="2">
        <v>3</v>
      </c>
      <c r="N139" s="4" t="s">
        <v>187</v>
      </c>
      <c r="T139" s="3"/>
    </row>
    <row r="140" spans="4:20" ht="16" customHeight="1">
      <c r="L140" s="3">
        <v>919.12739999999997</v>
      </c>
      <c r="M140" s="2">
        <v>3</v>
      </c>
      <c r="N140" s="4" t="s">
        <v>184</v>
      </c>
      <c r="T140" s="3"/>
    </row>
    <row r="141" spans="4:20" ht="16" customHeight="1">
      <c r="L141" s="3">
        <v>634.26750000000004</v>
      </c>
      <c r="M141" s="2">
        <v>2</v>
      </c>
      <c r="N141" s="4" t="s">
        <v>202</v>
      </c>
      <c r="O141" s="2">
        <v>163</v>
      </c>
      <c r="P141" s="2" t="s">
        <v>203</v>
      </c>
      <c r="Q141" s="2" t="s">
        <v>183</v>
      </c>
      <c r="T141" s="3"/>
    </row>
    <row r="142" spans="4:20" ht="16" customHeight="1">
      <c r="D142" s="1">
        <v>20</v>
      </c>
      <c r="E142" s="13">
        <v>0.30619999999999997</v>
      </c>
      <c r="F142" s="13"/>
      <c r="G142" s="13"/>
      <c r="H142" s="2" t="s">
        <v>174</v>
      </c>
      <c r="L142" s="3">
        <v>598.32460000000003</v>
      </c>
      <c r="M142" s="2">
        <v>2</v>
      </c>
      <c r="N142" s="4" t="s">
        <v>181</v>
      </c>
      <c r="O142" s="2">
        <v>164</v>
      </c>
      <c r="P142" s="2" t="s">
        <v>182</v>
      </c>
      <c r="Q142" s="2" t="s">
        <v>183</v>
      </c>
      <c r="T142" s="3"/>
    </row>
    <row r="143" spans="4:20" ht="16" customHeight="1">
      <c r="L143" s="3">
        <v>918.79250000000002</v>
      </c>
      <c r="M143" s="2">
        <v>3</v>
      </c>
      <c r="N143" s="4" t="s">
        <v>184</v>
      </c>
      <c r="T143" s="3"/>
    </row>
    <row r="144" spans="4:20" ht="16" customHeight="1">
      <c r="E144" s="13">
        <v>0.27344793896124275</v>
      </c>
      <c r="F144" s="13"/>
      <c r="G144" s="13"/>
      <c r="H144" s="2" t="s">
        <v>196</v>
      </c>
      <c r="L144" s="3">
        <v>598.3261</v>
      </c>
      <c r="M144" s="2">
        <v>2</v>
      </c>
      <c r="N144" s="4" t="s">
        <v>181</v>
      </c>
      <c r="O144" s="2">
        <v>93</v>
      </c>
      <c r="P144" s="2" t="s">
        <v>182</v>
      </c>
      <c r="Q144" s="2" t="s">
        <v>183</v>
      </c>
      <c r="T144" s="3"/>
    </row>
    <row r="145" spans="2:20" ht="16" customHeight="1">
      <c r="B145" s="66"/>
      <c r="L145" s="3">
        <v>611.30409999999995</v>
      </c>
      <c r="M145" s="2">
        <v>3</v>
      </c>
      <c r="N145" s="4" t="s">
        <v>187</v>
      </c>
      <c r="T145" s="3"/>
    </row>
    <row r="146" spans="2:20" ht="16" customHeight="1">
      <c r="E146" s="13">
        <v>3.2752061038757253E-2</v>
      </c>
      <c r="F146" s="13"/>
      <c r="G146" s="13"/>
      <c r="H146" s="2" t="s">
        <v>196</v>
      </c>
      <c r="L146" s="3">
        <v>708.85860000000002</v>
      </c>
      <c r="M146" s="2">
        <v>2</v>
      </c>
      <c r="N146" s="4" t="s">
        <v>197</v>
      </c>
      <c r="O146" s="2">
        <v>73</v>
      </c>
      <c r="P146" s="2" t="s">
        <v>206</v>
      </c>
      <c r="Q146" s="2" t="s">
        <v>166</v>
      </c>
      <c r="T146" s="3"/>
    </row>
    <row r="147" spans="2:20" ht="16" customHeight="1">
      <c r="L147" s="3">
        <v>736.8</v>
      </c>
      <c r="M147" s="2">
        <v>2</v>
      </c>
      <c r="N147" s="4" t="s">
        <v>207</v>
      </c>
      <c r="O147" s="23" t="s">
        <v>87</v>
      </c>
      <c r="P147" s="2" t="s">
        <v>208</v>
      </c>
      <c r="Q147" s="2" t="s">
        <v>166</v>
      </c>
      <c r="T147" s="3"/>
    </row>
    <row r="148" spans="2:20" ht="16" customHeight="1">
      <c r="E148" s="13">
        <v>1.2247999999999999</v>
      </c>
      <c r="F148" s="13"/>
      <c r="G148" s="13"/>
      <c r="H148" s="2" t="s">
        <v>189</v>
      </c>
      <c r="L148" s="3">
        <v>597.80849999999998</v>
      </c>
      <c r="M148" s="2">
        <v>2</v>
      </c>
      <c r="N148" s="4" t="s">
        <v>181</v>
      </c>
      <c r="O148" s="2">
        <v>234</v>
      </c>
      <c r="P148" s="2" t="s">
        <v>182</v>
      </c>
      <c r="Q148" s="2" t="s">
        <v>183</v>
      </c>
      <c r="T148" s="3"/>
    </row>
    <row r="149" spans="2:20" ht="16" customHeight="1">
      <c r="L149" s="3">
        <v>484.25909999999999</v>
      </c>
      <c r="M149" s="2">
        <v>3</v>
      </c>
      <c r="N149" s="4" t="s">
        <v>186</v>
      </c>
      <c r="T149" s="3"/>
    </row>
    <row r="150" spans="2:20" ht="16" customHeight="1">
      <c r="L150" s="3">
        <v>916.45320000000004</v>
      </c>
      <c r="M150" s="2">
        <v>2</v>
      </c>
      <c r="N150" s="4" t="s">
        <v>187</v>
      </c>
      <c r="P150" s="23"/>
      <c r="T150" s="3"/>
    </row>
    <row r="151" spans="2:20" ht="16" customHeight="1">
      <c r="L151" s="3">
        <v>918.79179999999997</v>
      </c>
      <c r="M151" s="2">
        <v>3</v>
      </c>
      <c r="N151" s="4" t="s">
        <v>184</v>
      </c>
      <c r="T151" s="3"/>
    </row>
    <row r="152" spans="2:20" ht="16" customHeight="1">
      <c r="E152" s="13">
        <v>3.0619999999999998</v>
      </c>
      <c r="F152" s="13"/>
      <c r="G152" s="13"/>
      <c r="H152" s="2" t="s">
        <v>188</v>
      </c>
      <c r="L152" s="3">
        <v>450.9074</v>
      </c>
      <c r="M152" s="2">
        <v>3</v>
      </c>
      <c r="N152" s="4" t="s">
        <v>209</v>
      </c>
      <c r="O152" s="2">
        <v>332</v>
      </c>
      <c r="P152" s="2" t="s">
        <v>182</v>
      </c>
      <c r="Q152" s="2" t="s">
        <v>183</v>
      </c>
      <c r="T152" s="3"/>
    </row>
    <row r="153" spans="2:20" ht="16" customHeight="1">
      <c r="L153" s="3">
        <v>726.89229999999998</v>
      </c>
      <c r="M153" s="2">
        <v>2</v>
      </c>
      <c r="N153" s="4" t="s">
        <v>186</v>
      </c>
      <c r="T153" s="3"/>
    </row>
    <row r="154" spans="2:20" ht="16" customHeight="1">
      <c r="L154" s="3">
        <v>916.45320000000004</v>
      </c>
      <c r="M154" s="2">
        <v>2</v>
      </c>
      <c r="N154" s="4" t="s">
        <v>187</v>
      </c>
      <c r="O154" s="23"/>
      <c r="T154" s="3"/>
    </row>
    <row r="155" spans="2:20" ht="16" customHeight="1">
      <c r="E155" s="13">
        <v>1.2247999999999999</v>
      </c>
      <c r="F155" s="13"/>
      <c r="G155" s="13"/>
      <c r="H155" s="2" t="s">
        <v>193</v>
      </c>
      <c r="K155" s="3" t="s">
        <v>210</v>
      </c>
      <c r="L155" s="3">
        <v>916.45140000000004</v>
      </c>
      <c r="M155" s="2">
        <v>2</v>
      </c>
      <c r="N155" s="4" t="s">
        <v>187</v>
      </c>
      <c r="O155" s="2">
        <v>161</v>
      </c>
      <c r="P155" s="2" t="s">
        <v>182</v>
      </c>
      <c r="Q155" s="2" t="s">
        <v>183</v>
      </c>
      <c r="T155" s="3"/>
    </row>
    <row r="156" spans="2:20" ht="16" customHeight="1">
      <c r="J156" s="2"/>
      <c r="K156" s="2"/>
      <c r="L156" s="3">
        <v>918.79219999999998</v>
      </c>
      <c r="M156" s="2">
        <v>3</v>
      </c>
      <c r="N156" s="4" t="s">
        <v>184</v>
      </c>
      <c r="T156" s="3"/>
    </row>
    <row r="157" spans="2:20" ht="16" customHeight="1">
      <c r="D157" s="1">
        <v>21</v>
      </c>
      <c r="E157" s="13">
        <v>0.23352000000000001</v>
      </c>
      <c r="F157" s="13"/>
      <c r="G157" s="13"/>
      <c r="H157" s="2" t="s">
        <v>174</v>
      </c>
      <c r="L157" s="3">
        <v>653.28899999999999</v>
      </c>
      <c r="M157" s="2">
        <v>3</v>
      </c>
      <c r="N157" s="4" t="s">
        <v>211</v>
      </c>
      <c r="O157" s="2">
        <v>119</v>
      </c>
      <c r="P157" s="23" t="s">
        <v>212</v>
      </c>
      <c r="Q157" s="2" t="s">
        <v>166</v>
      </c>
      <c r="T157" s="3"/>
    </row>
    <row r="158" spans="2:20" ht="16" customHeight="1">
      <c r="L158" s="3">
        <v>904.75580000000002</v>
      </c>
      <c r="M158" s="2">
        <v>3</v>
      </c>
      <c r="N158" s="4" t="s">
        <v>213</v>
      </c>
      <c r="T158" s="3"/>
    </row>
    <row r="159" spans="2:20" ht="16" customHeight="1">
      <c r="L159" s="3">
        <v>649.27700000000004</v>
      </c>
      <c r="M159" s="2">
        <v>2</v>
      </c>
      <c r="N159" s="4" t="s">
        <v>172</v>
      </c>
      <c r="O159" s="2">
        <v>108</v>
      </c>
      <c r="P159" s="23" t="s">
        <v>214</v>
      </c>
      <c r="Q159" s="2" t="s">
        <v>166</v>
      </c>
      <c r="T159" s="3"/>
    </row>
    <row r="160" spans="2:20" ht="16" customHeight="1">
      <c r="E160" s="13">
        <v>0.33360000000000001</v>
      </c>
      <c r="F160" s="13"/>
      <c r="G160" s="13"/>
      <c r="H160" s="2" t="s">
        <v>196</v>
      </c>
      <c r="L160" s="3">
        <v>649.27700000000004</v>
      </c>
      <c r="M160" s="2">
        <v>2</v>
      </c>
      <c r="N160" s="4" t="s">
        <v>172</v>
      </c>
      <c r="O160" s="2">
        <v>219</v>
      </c>
      <c r="P160" s="23" t="s">
        <v>214</v>
      </c>
      <c r="Q160" s="2" t="s">
        <v>166</v>
      </c>
      <c r="T160" s="3"/>
    </row>
    <row r="161" spans="4:20" ht="16" customHeight="1">
      <c r="L161" s="3">
        <v>708.84770000000003</v>
      </c>
      <c r="M161" s="2">
        <v>2</v>
      </c>
      <c r="N161" s="4" t="s">
        <v>197</v>
      </c>
      <c r="T161" s="3"/>
    </row>
    <row r="162" spans="4:20" ht="16" customHeight="1">
      <c r="L162" s="3">
        <v>772.9</v>
      </c>
      <c r="M162" s="2">
        <v>2</v>
      </c>
      <c r="N162" s="4" t="s">
        <v>215</v>
      </c>
      <c r="T162" s="3"/>
    </row>
    <row r="163" spans="4:20" ht="16" customHeight="1">
      <c r="L163" s="3">
        <v>736.8</v>
      </c>
      <c r="M163" s="2">
        <v>2</v>
      </c>
      <c r="N163" s="4" t="s">
        <v>216</v>
      </c>
      <c r="O163" s="23" t="s">
        <v>87</v>
      </c>
      <c r="P163" s="2" t="s">
        <v>217</v>
      </c>
      <c r="Q163" s="2" t="s">
        <v>166</v>
      </c>
      <c r="T163" s="3"/>
    </row>
    <row r="164" spans="4:20" ht="16" customHeight="1">
      <c r="D164" s="20"/>
      <c r="E164" s="13">
        <v>0.26688000000000001</v>
      </c>
      <c r="F164" s="13"/>
      <c r="G164" s="13"/>
      <c r="H164" s="2" t="s">
        <v>189</v>
      </c>
      <c r="L164" s="3">
        <v>598.32510000000002</v>
      </c>
      <c r="M164" s="2">
        <v>2</v>
      </c>
      <c r="N164" s="4" t="s">
        <v>181</v>
      </c>
      <c r="O164" s="2">
        <v>273</v>
      </c>
      <c r="P164" s="2" t="s">
        <v>182</v>
      </c>
      <c r="Q164" s="2" t="s">
        <v>183</v>
      </c>
      <c r="T164" s="3"/>
    </row>
    <row r="165" spans="4:20" ht="16" customHeight="1">
      <c r="D165" s="20"/>
      <c r="L165" s="3">
        <v>484.6</v>
      </c>
      <c r="M165" s="2">
        <v>3</v>
      </c>
      <c r="N165" s="4" t="s">
        <v>186</v>
      </c>
      <c r="P165" s="23"/>
      <c r="T165" s="3"/>
    </row>
    <row r="166" spans="4:20" ht="16" customHeight="1">
      <c r="D166" s="20"/>
      <c r="E166" s="13"/>
      <c r="F166" s="13"/>
      <c r="G166" s="13"/>
      <c r="L166" s="3">
        <v>918.8</v>
      </c>
      <c r="M166" s="2">
        <v>3</v>
      </c>
      <c r="N166" s="4" t="s">
        <v>184</v>
      </c>
      <c r="P166" s="23"/>
      <c r="T166" s="3"/>
    </row>
    <row r="167" spans="4:20" ht="16" customHeight="1">
      <c r="D167" s="20"/>
      <c r="E167" s="13"/>
      <c r="F167" s="13"/>
      <c r="G167" s="13"/>
      <c r="L167" s="3">
        <v>634.29999999999995</v>
      </c>
      <c r="M167" s="2">
        <v>2</v>
      </c>
      <c r="N167" s="4" t="s">
        <v>202</v>
      </c>
      <c r="O167" s="2">
        <v>208</v>
      </c>
      <c r="P167" s="2" t="s">
        <v>218</v>
      </c>
      <c r="Q167" s="2" t="s">
        <v>183</v>
      </c>
      <c r="T167" s="3"/>
    </row>
    <row r="168" spans="4:20" ht="16" customHeight="1">
      <c r="E168" s="13">
        <v>0.1668</v>
      </c>
      <c r="F168" s="13"/>
      <c r="G168" s="13"/>
      <c r="H168" s="2" t="s">
        <v>201</v>
      </c>
      <c r="L168" s="3">
        <v>634.26520000000005</v>
      </c>
      <c r="M168" s="2">
        <v>2</v>
      </c>
      <c r="N168" s="4" t="s">
        <v>202</v>
      </c>
      <c r="O168" s="2">
        <v>43</v>
      </c>
      <c r="P168" s="2" t="s">
        <v>218</v>
      </c>
      <c r="Q168" s="2" t="s">
        <v>183</v>
      </c>
      <c r="T168" s="3"/>
    </row>
    <row r="169" spans="4:20" ht="16" customHeight="1">
      <c r="E169" s="13">
        <v>0.33360000000000001</v>
      </c>
      <c r="F169" s="13"/>
      <c r="G169" s="13"/>
      <c r="H169" s="2" t="s">
        <v>188</v>
      </c>
      <c r="L169" s="3">
        <v>598.32510000000002</v>
      </c>
      <c r="M169" s="2">
        <v>2</v>
      </c>
      <c r="N169" s="4" t="s">
        <v>181</v>
      </c>
      <c r="O169" s="2">
        <v>196</v>
      </c>
      <c r="P169" s="2" t="s">
        <v>182</v>
      </c>
      <c r="Q169" s="2" t="s">
        <v>183</v>
      </c>
      <c r="T169" s="3"/>
    </row>
    <row r="170" spans="4:20" ht="16" customHeight="1">
      <c r="L170" s="3">
        <v>916.45280000000002</v>
      </c>
      <c r="M170" s="2">
        <v>2</v>
      </c>
      <c r="N170" s="4" t="s">
        <v>187</v>
      </c>
      <c r="P170" s="23"/>
      <c r="T170" s="3"/>
    </row>
    <row r="171" spans="4:20" ht="16" customHeight="1">
      <c r="E171" s="13"/>
      <c r="F171" s="13"/>
      <c r="G171" s="13"/>
      <c r="L171" s="3">
        <v>916.45259999999996</v>
      </c>
      <c r="M171" s="2">
        <v>2</v>
      </c>
      <c r="N171" s="4" t="s">
        <v>187</v>
      </c>
      <c r="P171" s="23"/>
      <c r="T171" s="3"/>
    </row>
    <row r="172" spans="4:20" ht="16" customHeight="1">
      <c r="E172" s="13">
        <v>2.0015999999999998</v>
      </c>
      <c r="F172" s="13"/>
      <c r="G172" s="13"/>
      <c r="H172" s="2" t="s">
        <v>193</v>
      </c>
      <c r="K172" s="3" t="s">
        <v>219</v>
      </c>
      <c r="L172" s="3">
        <v>919.12860000000001</v>
      </c>
      <c r="M172" s="2">
        <v>3</v>
      </c>
      <c r="N172" s="4" t="s">
        <v>184</v>
      </c>
      <c r="O172" s="2">
        <v>150</v>
      </c>
      <c r="P172" s="2" t="s">
        <v>182</v>
      </c>
      <c r="Q172" s="2" t="s">
        <v>183</v>
      </c>
      <c r="T172" s="3"/>
    </row>
    <row r="173" spans="4:20" ht="16" customHeight="1">
      <c r="D173" s="1">
        <v>22</v>
      </c>
      <c r="E173" s="13">
        <v>0.10349999999999999</v>
      </c>
      <c r="F173" s="13"/>
      <c r="G173" s="13"/>
      <c r="H173" s="2" t="s">
        <v>171</v>
      </c>
      <c r="J173" s="2"/>
      <c r="K173" s="2"/>
      <c r="L173" s="3">
        <v>708.85940000000005</v>
      </c>
      <c r="M173" s="2">
        <v>2</v>
      </c>
      <c r="N173" s="4" t="s">
        <v>197</v>
      </c>
      <c r="O173" s="2">
        <v>86</v>
      </c>
      <c r="P173" s="2" t="s">
        <v>198</v>
      </c>
      <c r="Q173" s="2" t="s">
        <v>166</v>
      </c>
      <c r="T173" s="3"/>
    </row>
    <row r="174" spans="4:20" ht="16" customHeight="1">
      <c r="E174" s="13">
        <v>0.20699999999999999</v>
      </c>
      <c r="F174" s="13"/>
      <c r="G174" s="13"/>
      <c r="H174" s="2" t="s">
        <v>174</v>
      </c>
      <c r="L174" s="3">
        <v>649.29999999999995</v>
      </c>
      <c r="M174" s="2">
        <v>2</v>
      </c>
      <c r="N174" s="4" t="s">
        <v>86</v>
      </c>
      <c r="O174" s="23" t="s">
        <v>87</v>
      </c>
      <c r="P174" s="23" t="s">
        <v>88</v>
      </c>
      <c r="Q174" s="2" t="s">
        <v>166</v>
      </c>
      <c r="T174" s="3"/>
    </row>
    <row r="175" spans="4:20" ht="16" customHeight="1">
      <c r="L175" s="3">
        <v>504.2</v>
      </c>
      <c r="M175" s="2">
        <v>2</v>
      </c>
      <c r="N175" s="4" t="s">
        <v>220</v>
      </c>
      <c r="O175" s="23" t="s">
        <v>87</v>
      </c>
      <c r="P175" s="2" t="s">
        <v>221</v>
      </c>
      <c r="Q175" s="2" t="s">
        <v>166</v>
      </c>
      <c r="T175" s="3"/>
    </row>
    <row r="176" spans="4:20" ht="16" customHeight="1">
      <c r="E176" s="13">
        <v>1.6145999999999998</v>
      </c>
      <c r="F176" s="13"/>
      <c r="G176" s="13"/>
      <c r="H176" s="2" t="s">
        <v>196</v>
      </c>
      <c r="L176" s="3">
        <v>708.85900000000004</v>
      </c>
      <c r="M176" s="2">
        <v>2</v>
      </c>
      <c r="N176" s="4" t="s">
        <v>197</v>
      </c>
      <c r="O176" s="2">
        <v>99</v>
      </c>
      <c r="P176" s="2" t="s">
        <v>198</v>
      </c>
      <c r="Q176" s="2" t="s">
        <v>166</v>
      </c>
      <c r="T176" s="3"/>
    </row>
    <row r="177" spans="4:20" ht="16" customHeight="1">
      <c r="E177" s="13">
        <v>7.794243106359032E-3</v>
      </c>
      <c r="F177" s="13"/>
      <c r="G177" s="13"/>
      <c r="H177" s="2" t="s">
        <v>222</v>
      </c>
      <c r="L177" s="3">
        <v>649.27689999999996</v>
      </c>
      <c r="M177" s="2">
        <v>2</v>
      </c>
      <c r="N177" s="4" t="s">
        <v>172</v>
      </c>
      <c r="O177" s="2">
        <v>144</v>
      </c>
      <c r="P177" s="23" t="s">
        <v>214</v>
      </c>
      <c r="Q177" s="2" t="s">
        <v>166</v>
      </c>
      <c r="T177" s="3"/>
    </row>
    <row r="178" spans="4:20" ht="16" customHeight="1">
      <c r="E178" s="13">
        <v>4.1399999999999999E-2</v>
      </c>
      <c r="F178" s="13"/>
      <c r="G178" s="13"/>
      <c r="H178" s="2" t="s">
        <v>201</v>
      </c>
      <c r="L178" s="3">
        <v>509.28089999999997</v>
      </c>
      <c r="M178" s="2">
        <v>2</v>
      </c>
      <c r="N178" s="4" t="s">
        <v>226</v>
      </c>
      <c r="O178" s="2">
        <v>65</v>
      </c>
      <c r="P178" s="2" t="s">
        <v>227</v>
      </c>
      <c r="Q178" s="2" t="s">
        <v>228</v>
      </c>
      <c r="T178" s="3"/>
    </row>
    <row r="179" spans="4:20" ht="16" customHeight="1">
      <c r="E179" s="13">
        <v>4.1399999999999999E-2</v>
      </c>
      <c r="F179" s="13"/>
      <c r="G179" s="13"/>
      <c r="H179" s="2" t="s">
        <v>188</v>
      </c>
      <c r="L179" s="3">
        <v>575.79229999999995</v>
      </c>
      <c r="M179" s="2">
        <v>2</v>
      </c>
      <c r="N179" s="4" t="s">
        <v>181</v>
      </c>
      <c r="O179" s="2">
        <v>242</v>
      </c>
      <c r="P179" s="2" t="s">
        <v>182</v>
      </c>
      <c r="Q179" s="2" t="s">
        <v>183</v>
      </c>
      <c r="T179" s="3"/>
    </row>
    <row r="180" spans="4:20" ht="16" customHeight="1">
      <c r="L180" s="3">
        <v>598.32410000000004</v>
      </c>
      <c r="M180" s="2">
        <v>2</v>
      </c>
      <c r="N180" s="4" t="s">
        <v>181</v>
      </c>
      <c r="P180" s="23"/>
      <c r="T180" s="3"/>
    </row>
    <row r="181" spans="4:20" ht="16" customHeight="1">
      <c r="L181" s="3">
        <v>484.6026</v>
      </c>
      <c r="M181" s="2">
        <v>3</v>
      </c>
      <c r="N181" s="4" t="s">
        <v>186</v>
      </c>
      <c r="T181" s="3"/>
    </row>
    <row r="182" spans="4:20" ht="16" customHeight="1">
      <c r="E182" s="13">
        <v>4.1399999999999999E-2</v>
      </c>
      <c r="F182" s="13"/>
      <c r="G182" s="13"/>
      <c r="H182" s="2" t="s">
        <v>193</v>
      </c>
      <c r="L182" s="3">
        <v>567.79420000000005</v>
      </c>
      <c r="M182" s="2">
        <v>2</v>
      </c>
      <c r="N182" s="4" t="s">
        <v>190</v>
      </c>
      <c r="O182" s="2">
        <v>247</v>
      </c>
      <c r="P182" s="2" t="s">
        <v>182</v>
      </c>
      <c r="Q182" s="2" t="s">
        <v>183</v>
      </c>
      <c r="T182" s="3"/>
    </row>
    <row r="183" spans="4:20" ht="16" customHeight="1">
      <c r="L183" s="3">
        <v>598.32479999999998</v>
      </c>
      <c r="M183" s="2">
        <v>2</v>
      </c>
      <c r="N183" s="4" t="s">
        <v>181</v>
      </c>
      <c r="T183" s="3"/>
    </row>
    <row r="184" spans="4:20" ht="16" customHeight="1">
      <c r="L184" s="3">
        <v>484.60210000000001</v>
      </c>
      <c r="M184" s="2">
        <v>2</v>
      </c>
      <c r="N184" s="4" t="s">
        <v>186</v>
      </c>
      <c r="P184" s="23"/>
      <c r="T184" s="3"/>
    </row>
    <row r="185" spans="4:20" ht="16" customHeight="1">
      <c r="L185" s="3">
        <v>611.63750000000005</v>
      </c>
      <c r="M185" s="2">
        <v>3</v>
      </c>
      <c r="N185" s="4" t="s">
        <v>187</v>
      </c>
      <c r="T185" s="3"/>
    </row>
    <row r="186" spans="4:20" ht="16" customHeight="1">
      <c r="L186" s="3">
        <v>634.26559999999995</v>
      </c>
      <c r="M186" s="2">
        <v>2</v>
      </c>
      <c r="N186" s="4" t="s">
        <v>202</v>
      </c>
      <c r="O186" s="2">
        <v>188</v>
      </c>
      <c r="P186" s="2" t="s">
        <v>203</v>
      </c>
      <c r="Q186" s="2" t="s">
        <v>183</v>
      </c>
      <c r="T186" s="3"/>
    </row>
    <row r="187" spans="4:20" ht="16" customHeight="1">
      <c r="L187" s="3">
        <v>584.7636</v>
      </c>
      <c r="M187" s="2">
        <v>2</v>
      </c>
      <c r="N187" s="4" t="s">
        <v>191</v>
      </c>
      <c r="O187" s="2">
        <v>156</v>
      </c>
      <c r="P187" s="23" t="s">
        <v>229</v>
      </c>
      <c r="Q187" s="2" t="s">
        <v>183</v>
      </c>
      <c r="T187" s="3"/>
    </row>
    <row r="188" spans="4:20" ht="16" customHeight="1">
      <c r="D188" s="1">
        <v>23</v>
      </c>
      <c r="E188" s="13">
        <v>2.5194237574348462E-2</v>
      </c>
      <c r="F188" s="13"/>
      <c r="G188" s="13"/>
      <c r="H188" s="2" t="s">
        <v>230</v>
      </c>
      <c r="L188" s="3">
        <v>554.79049999999995</v>
      </c>
      <c r="M188" s="2">
        <v>2</v>
      </c>
      <c r="N188" s="4" t="s">
        <v>231</v>
      </c>
      <c r="O188" s="2">
        <v>114</v>
      </c>
      <c r="P188" s="2" t="s">
        <v>232</v>
      </c>
      <c r="Q188" s="2" t="s">
        <v>233</v>
      </c>
      <c r="T188" s="3"/>
    </row>
    <row r="189" spans="4:20" ht="16" customHeight="1">
      <c r="L189" s="3">
        <v>567.78250000000003</v>
      </c>
      <c r="M189" s="2">
        <v>2</v>
      </c>
      <c r="N189" s="4" t="s">
        <v>234</v>
      </c>
      <c r="P189" s="23"/>
      <c r="T189" s="3"/>
    </row>
    <row r="190" spans="4:20" ht="16" customHeight="1">
      <c r="L190" s="3">
        <v>678.33450000000005</v>
      </c>
      <c r="M190" s="2">
        <v>2</v>
      </c>
      <c r="N190" s="4" t="s">
        <v>235</v>
      </c>
      <c r="P190" s="23"/>
      <c r="T190" s="3"/>
    </row>
    <row r="191" spans="4:20" ht="16" customHeight="1">
      <c r="E191" s="13">
        <v>3.9815762425651539E-2</v>
      </c>
      <c r="F191" s="13"/>
      <c r="G191" s="13"/>
      <c r="H191" s="2" t="s">
        <v>230</v>
      </c>
      <c r="L191" s="3">
        <v>509.28160000000003</v>
      </c>
      <c r="M191" s="2">
        <v>2</v>
      </c>
      <c r="N191" s="4" t="s">
        <v>226</v>
      </c>
      <c r="O191" s="2">
        <v>71</v>
      </c>
      <c r="P191" s="2" t="s">
        <v>227</v>
      </c>
      <c r="Q191" s="2" t="s">
        <v>228</v>
      </c>
      <c r="T191" s="3"/>
    </row>
    <row r="192" spans="4:20" ht="16" customHeight="1">
      <c r="E192" s="13">
        <v>2.955E-2</v>
      </c>
      <c r="F192" s="13"/>
      <c r="G192" s="13"/>
      <c r="H192" s="2" t="s">
        <v>236</v>
      </c>
      <c r="L192" s="3">
        <v>554.79049999999995</v>
      </c>
      <c r="M192" s="2">
        <v>2</v>
      </c>
      <c r="N192" s="4" t="s">
        <v>231</v>
      </c>
      <c r="O192" s="2">
        <v>199</v>
      </c>
      <c r="P192" s="2" t="s">
        <v>232</v>
      </c>
      <c r="Q192" s="2" t="s">
        <v>233</v>
      </c>
      <c r="T192" s="3"/>
    </row>
    <row r="193" spans="4:20" ht="16" customHeight="1">
      <c r="L193" s="3">
        <v>507.58940000000001</v>
      </c>
      <c r="M193" s="2">
        <v>3</v>
      </c>
      <c r="N193" s="4" t="s">
        <v>237</v>
      </c>
      <c r="T193" s="3"/>
    </row>
    <row r="194" spans="4:20" ht="16" customHeight="1">
      <c r="E194" s="13">
        <v>0.4728</v>
      </c>
      <c r="F194" s="13"/>
      <c r="G194" s="13"/>
      <c r="H194" s="2" t="s">
        <v>238</v>
      </c>
      <c r="L194" s="3">
        <v>600.83550000000002</v>
      </c>
      <c r="M194" s="2">
        <v>2</v>
      </c>
      <c r="N194" s="4" t="s">
        <v>239</v>
      </c>
      <c r="O194" s="2">
        <v>107</v>
      </c>
      <c r="P194" s="2" t="s">
        <v>227</v>
      </c>
      <c r="Q194" s="2" t="s">
        <v>228</v>
      </c>
      <c r="T194" s="3"/>
    </row>
    <row r="195" spans="4:20" ht="16" customHeight="1">
      <c r="L195" s="3">
        <v>452.92610000000002</v>
      </c>
      <c r="M195" s="2">
        <v>3</v>
      </c>
      <c r="N195" s="4" t="s">
        <v>240</v>
      </c>
      <c r="P195" s="23"/>
      <c r="T195" s="3"/>
    </row>
    <row r="196" spans="4:20" ht="16" customHeight="1">
      <c r="E196" s="13">
        <v>1.5608453099925583E-3</v>
      </c>
      <c r="F196" s="13"/>
      <c r="G196" s="13"/>
      <c r="H196" s="2" t="s">
        <v>241</v>
      </c>
      <c r="L196" s="3">
        <v>848.46709999999996</v>
      </c>
      <c r="M196" s="2">
        <v>2</v>
      </c>
      <c r="N196" s="4" t="s">
        <v>223</v>
      </c>
      <c r="O196" s="2">
        <v>111</v>
      </c>
      <c r="P196" s="2" t="s">
        <v>224</v>
      </c>
      <c r="Q196" s="2" t="s">
        <v>225</v>
      </c>
      <c r="T196" s="3"/>
    </row>
    <row r="197" spans="4:20" ht="16" customHeight="1">
      <c r="L197" s="3">
        <v>704.01430000000005</v>
      </c>
      <c r="M197" s="2">
        <v>3</v>
      </c>
      <c r="N197" s="4" t="s">
        <v>242</v>
      </c>
      <c r="T197" s="3"/>
    </row>
    <row r="198" spans="4:20" ht="16" customHeight="1">
      <c r="E198" s="13">
        <v>1.0259154690007441E-2</v>
      </c>
      <c r="F198" s="13"/>
      <c r="G198" s="13"/>
      <c r="H198" s="2" t="s">
        <v>241</v>
      </c>
      <c r="L198" s="3">
        <v>618.32320000000004</v>
      </c>
      <c r="M198" s="2">
        <v>2</v>
      </c>
      <c r="N198" s="4" t="s">
        <v>243</v>
      </c>
      <c r="O198" s="2">
        <v>75</v>
      </c>
      <c r="P198" s="23" t="s">
        <v>244</v>
      </c>
      <c r="Q198" s="2" t="s">
        <v>166</v>
      </c>
      <c r="T198" s="3"/>
    </row>
    <row r="199" spans="4:20" ht="16" customHeight="1">
      <c r="L199" s="3">
        <v>649.29999999999995</v>
      </c>
      <c r="M199" s="2">
        <v>2</v>
      </c>
      <c r="N199" s="4" t="s">
        <v>86</v>
      </c>
      <c r="O199" s="23" t="s">
        <v>87</v>
      </c>
      <c r="P199" s="23" t="s">
        <v>88</v>
      </c>
      <c r="Q199" s="2" t="s">
        <v>166</v>
      </c>
      <c r="T199" s="3"/>
    </row>
    <row r="200" spans="4:20" ht="16" customHeight="1">
      <c r="E200" s="13">
        <v>1.1819999999999999E-2</v>
      </c>
      <c r="F200" s="13"/>
      <c r="G200" s="13"/>
      <c r="H200" s="2" t="s">
        <v>245</v>
      </c>
      <c r="L200" s="3">
        <v>567.79420000000005</v>
      </c>
      <c r="M200" s="2">
        <v>2</v>
      </c>
      <c r="N200" s="4" t="s">
        <v>190</v>
      </c>
      <c r="O200" s="2">
        <v>268</v>
      </c>
      <c r="P200" s="2" t="s">
        <v>182</v>
      </c>
      <c r="Q200" s="2" t="s">
        <v>183</v>
      </c>
      <c r="T200" s="3"/>
    </row>
    <row r="201" spans="4:20" ht="16" customHeight="1">
      <c r="L201" s="3">
        <v>598.32539999999995</v>
      </c>
      <c r="M201" s="2">
        <v>2</v>
      </c>
      <c r="N201" s="4" t="s">
        <v>181</v>
      </c>
      <c r="T201" s="3"/>
    </row>
    <row r="202" spans="4:20" ht="16" customHeight="1">
      <c r="L202" s="3">
        <v>484.60230000000001</v>
      </c>
      <c r="M202" s="2">
        <v>3</v>
      </c>
      <c r="N202" s="4" t="s">
        <v>186</v>
      </c>
      <c r="T202" s="3"/>
    </row>
    <row r="203" spans="4:20" ht="16" customHeight="1">
      <c r="L203" s="3">
        <v>611.63940000000002</v>
      </c>
      <c r="M203" s="2">
        <v>3</v>
      </c>
      <c r="N203" s="4" t="s">
        <v>187</v>
      </c>
      <c r="T203" s="3"/>
    </row>
    <row r="204" spans="4:20" ht="16" customHeight="1">
      <c r="D204" s="1">
        <v>24</v>
      </c>
      <c r="E204" s="13">
        <v>0.64870000000000005</v>
      </c>
      <c r="F204" s="13"/>
      <c r="G204" s="13"/>
      <c r="H204" s="2" t="s">
        <v>179</v>
      </c>
      <c r="L204" s="3">
        <v>443.59039999999999</v>
      </c>
      <c r="M204" s="2">
        <v>3</v>
      </c>
      <c r="N204" s="4" t="s">
        <v>246</v>
      </c>
      <c r="O204" s="2">
        <v>248</v>
      </c>
      <c r="P204" s="23" t="s">
        <v>247</v>
      </c>
      <c r="Q204" s="2" t="s">
        <v>228</v>
      </c>
      <c r="T204" s="3"/>
    </row>
    <row r="205" spans="4:20" ht="16" customHeight="1">
      <c r="L205" s="3">
        <v>670.29830000000004</v>
      </c>
      <c r="M205" s="2">
        <v>2</v>
      </c>
      <c r="N205" s="4" t="s">
        <v>248</v>
      </c>
      <c r="T205" s="3"/>
    </row>
    <row r="206" spans="4:20" ht="16" customHeight="1">
      <c r="L206" s="3">
        <v>678.88520000000005</v>
      </c>
      <c r="M206" s="2">
        <v>2</v>
      </c>
      <c r="N206" s="4" t="s">
        <v>240</v>
      </c>
      <c r="T206" s="3"/>
    </row>
    <row r="207" spans="4:20" ht="16" customHeight="1">
      <c r="L207" s="3">
        <v>745.73710000000005</v>
      </c>
      <c r="M207" s="2">
        <v>3</v>
      </c>
      <c r="N207" s="4" t="s">
        <v>249</v>
      </c>
      <c r="T207" s="3"/>
    </row>
    <row r="208" spans="4:20" ht="16" customHeight="1">
      <c r="L208" s="3">
        <v>565.75289999999995</v>
      </c>
      <c r="M208" s="2">
        <v>2</v>
      </c>
      <c r="N208" s="4" t="s">
        <v>250</v>
      </c>
      <c r="O208" s="2">
        <v>220</v>
      </c>
      <c r="P208" s="2" t="s">
        <v>251</v>
      </c>
      <c r="Q208" s="2" t="s">
        <v>228</v>
      </c>
      <c r="T208" s="3"/>
    </row>
    <row r="209" spans="4:20" ht="16" customHeight="1">
      <c r="D209" s="20"/>
      <c r="L209" s="3">
        <v>1014.8214</v>
      </c>
      <c r="M209" s="2">
        <v>3</v>
      </c>
      <c r="N209" s="4" t="s">
        <v>252</v>
      </c>
      <c r="P209" s="23"/>
      <c r="T209" s="3"/>
    </row>
    <row r="210" spans="4:20" ht="16" customHeight="1">
      <c r="E210" s="13">
        <v>0.47057940382138402</v>
      </c>
      <c r="F210" s="13"/>
      <c r="G210" s="13"/>
      <c r="H210" s="2" t="s">
        <v>253</v>
      </c>
      <c r="L210" s="3">
        <v>600.8356</v>
      </c>
      <c r="M210" s="2">
        <v>2</v>
      </c>
      <c r="N210" s="4" t="s">
        <v>239</v>
      </c>
      <c r="O210" s="2">
        <v>343</v>
      </c>
      <c r="P210" s="2" t="s">
        <v>254</v>
      </c>
      <c r="Q210" s="2" t="s">
        <v>228</v>
      </c>
      <c r="T210" s="3"/>
    </row>
    <row r="211" spans="4:20" ht="16" customHeight="1">
      <c r="L211" s="3">
        <v>670.29870000000005</v>
      </c>
      <c r="M211" s="2">
        <v>2</v>
      </c>
      <c r="N211" s="4" t="s">
        <v>248</v>
      </c>
      <c r="T211" s="3"/>
    </row>
    <row r="212" spans="4:20" ht="16" customHeight="1">
      <c r="L212" s="3">
        <v>745.73739999999998</v>
      </c>
      <c r="M212" s="2">
        <v>3</v>
      </c>
      <c r="N212" s="4" t="s">
        <v>249</v>
      </c>
      <c r="T212" s="3"/>
    </row>
    <row r="213" spans="4:20" ht="16" customHeight="1">
      <c r="L213" s="3">
        <v>526.7921</v>
      </c>
      <c r="M213" s="2">
        <v>2</v>
      </c>
      <c r="N213" s="4" t="s">
        <v>255</v>
      </c>
      <c r="O213" s="2">
        <v>173</v>
      </c>
      <c r="P213" s="23" t="s">
        <v>256</v>
      </c>
      <c r="Q213" s="2" t="s">
        <v>228</v>
      </c>
      <c r="T213" s="3"/>
    </row>
    <row r="214" spans="4:20" ht="16" customHeight="1">
      <c r="E214" s="13">
        <v>0.42682059617861612</v>
      </c>
      <c r="F214" s="13"/>
      <c r="G214" s="13"/>
      <c r="H214" s="2" t="s">
        <v>253</v>
      </c>
      <c r="L214" s="3">
        <v>453.7371</v>
      </c>
      <c r="M214" s="2">
        <v>2</v>
      </c>
      <c r="N214" s="4" t="s">
        <v>257</v>
      </c>
      <c r="O214" s="2">
        <v>155</v>
      </c>
      <c r="P214" s="2" t="s">
        <v>258</v>
      </c>
      <c r="Q214" s="2" t="s">
        <v>259</v>
      </c>
      <c r="T214" s="3"/>
    </row>
    <row r="215" spans="4:20" ht="16" customHeight="1">
      <c r="L215" s="3">
        <v>543.33199999999999</v>
      </c>
      <c r="M215" s="2">
        <v>2</v>
      </c>
      <c r="N215" s="4" t="s">
        <v>260</v>
      </c>
      <c r="T215" s="3"/>
    </row>
    <row r="216" spans="4:20" ht="16" customHeight="1">
      <c r="L216" s="3">
        <v>834.09190000000001</v>
      </c>
      <c r="M216" s="2">
        <v>3</v>
      </c>
      <c r="N216" s="4" t="s">
        <v>261</v>
      </c>
      <c r="T216" s="3"/>
    </row>
    <row r="217" spans="4:20" ht="16" customHeight="1">
      <c r="E217" s="13">
        <v>2.75697380978947</v>
      </c>
      <c r="F217" s="13"/>
      <c r="G217" s="13"/>
      <c r="H217" s="2" t="s">
        <v>174</v>
      </c>
      <c r="L217" s="3">
        <v>509.2824</v>
      </c>
      <c r="M217" s="2">
        <v>2</v>
      </c>
      <c r="N217" s="4" t="s">
        <v>226</v>
      </c>
      <c r="O217" s="2">
        <v>370</v>
      </c>
      <c r="P217" s="23" t="s">
        <v>262</v>
      </c>
      <c r="Q217" s="2" t="s">
        <v>228</v>
      </c>
      <c r="T217" s="3"/>
    </row>
    <row r="218" spans="4:20" ht="16" customHeight="1">
      <c r="L218" s="3">
        <v>443.59070000000003</v>
      </c>
      <c r="M218" s="2">
        <v>3</v>
      </c>
      <c r="N218" s="4" t="s">
        <v>246</v>
      </c>
      <c r="T218" s="3"/>
    </row>
    <row r="219" spans="4:20" ht="16" customHeight="1">
      <c r="L219" s="3">
        <v>678.88530000000003</v>
      </c>
      <c r="M219" s="2">
        <v>2</v>
      </c>
      <c r="N219" s="4" t="s">
        <v>240</v>
      </c>
      <c r="T219" s="3"/>
    </row>
    <row r="220" spans="4:20" ht="16" customHeight="1">
      <c r="L220" s="3">
        <v>745.73789999999997</v>
      </c>
      <c r="M220" s="2">
        <v>3</v>
      </c>
      <c r="N220" s="4" t="s">
        <v>249</v>
      </c>
      <c r="T220" s="3"/>
    </row>
    <row r="221" spans="4:20" ht="16" customHeight="1">
      <c r="L221" s="3">
        <v>670.29899999999998</v>
      </c>
      <c r="M221" s="2">
        <v>2</v>
      </c>
      <c r="N221" s="4" t="s">
        <v>248</v>
      </c>
      <c r="O221" s="2">
        <v>369</v>
      </c>
      <c r="P221" s="2" t="s">
        <v>263</v>
      </c>
      <c r="Q221" s="2" t="s">
        <v>228</v>
      </c>
      <c r="T221" s="3"/>
    </row>
    <row r="222" spans="4:20" ht="16" customHeight="1">
      <c r="L222" s="3">
        <v>1014.8203999999999</v>
      </c>
      <c r="M222" s="2">
        <v>3</v>
      </c>
      <c r="N222" s="4" t="s">
        <v>264</v>
      </c>
      <c r="O222" s="2">
        <v>239</v>
      </c>
      <c r="P222" s="23" t="s">
        <v>265</v>
      </c>
      <c r="Q222" s="2" t="s">
        <v>228</v>
      </c>
      <c r="T222" s="3"/>
    </row>
    <row r="223" spans="4:20" ht="16" customHeight="1">
      <c r="L223" s="3">
        <v>526.7903</v>
      </c>
      <c r="M223" s="2">
        <v>2</v>
      </c>
      <c r="N223" s="4" t="s">
        <v>255</v>
      </c>
      <c r="O223" s="2">
        <v>159</v>
      </c>
      <c r="P223" s="2" t="s">
        <v>266</v>
      </c>
      <c r="Q223" s="2" t="s">
        <v>228</v>
      </c>
      <c r="T223" s="3"/>
    </row>
    <row r="224" spans="4:20" ht="16" customHeight="1">
      <c r="E224" s="13">
        <v>0.13217619021053217</v>
      </c>
      <c r="F224" s="13"/>
      <c r="G224" s="13"/>
      <c r="H224" s="2" t="s">
        <v>174</v>
      </c>
      <c r="L224" s="3">
        <v>453.73719999999997</v>
      </c>
      <c r="M224" s="2">
        <v>2</v>
      </c>
      <c r="N224" s="4" t="s">
        <v>257</v>
      </c>
      <c r="O224" s="2">
        <v>101</v>
      </c>
      <c r="P224" s="2" t="s">
        <v>258</v>
      </c>
      <c r="Q224" s="2" t="s">
        <v>259</v>
      </c>
      <c r="T224" s="3"/>
    </row>
    <row r="225" spans="4:20" ht="16" customHeight="1">
      <c r="L225" s="3">
        <v>896.94280000000003</v>
      </c>
      <c r="M225" s="2">
        <v>3</v>
      </c>
      <c r="N225" s="4" t="s">
        <v>267</v>
      </c>
      <c r="T225" s="3"/>
    </row>
    <row r="226" spans="4:20" ht="16" customHeight="1">
      <c r="L226" s="3">
        <v>509.27699999999999</v>
      </c>
      <c r="M226" s="2">
        <v>2</v>
      </c>
      <c r="N226" s="4" t="s">
        <v>268</v>
      </c>
      <c r="O226" s="2">
        <v>85</v>
      </c>
      <c r="P226" s="2" t="s">
        <v>269</v>
      </c>
      <c r="Q226" s="2" t="s">
        <v>259</v>
      </c>
      <c r="T226" s="3"/>
    </row>
    <row r="227" spans="4:20" ht="16" customHeight="1">
      <c r="L227" s="3">
        <v>588.79999999999995</v>
      </c>
      <c r="M227" s="2">
        <v>2</v>
      </c>
      <c r="N227" s="4" t="s">
        <v>270</v>
      </c>
      <c r="O227" s="23" t="s">
        <v>87</v>
      </c>
      <c r="P227" s="2" t="s">
        <v>271</v>
      </c>
      <c r="Q227" s="2" t="s">
        <v>228</v>
      </c>
      <c r="T227" s="3"/>
    </row>
    <row r="228" spans="4:20" ht="16" customHeight="1">
      <c r="E228" s="13">
        <v>1.1820066336605299</v>
      </c>
      <c r="F228" s="13"/>
      <c r="G228" s="13"/>
      <c r="H228" s="2" t="s">
        <v>196</v>
      </c>
      <c r="L228" s="3">
        <v>664.88340000000005</v>
      </c>
      <c r="M228" s="2">
        <v>2</v>
      </c>
      <c r="N228" s="4" t="s">
        <v>246</v>
      </c>
      <c r="O228" s="2">
        <v>345</v>
      </c>
      <c r="P228" s="2" t="s">
        <v>254</v>
      </c>
      <c r="Q228" s="2" t="s">
        <v>228</v>
      </c>
      <c r="T228" s="3"/>
    </row>
    <row r="229" spans="4:20" ht="16" customHeight="1">
      <c r="L229" s="3">
        <v>670.29909999999995</v>
      </c>
      <c r="M229" s="2">
        <v>2</v>
      </c>
      <c r="N229" s="4" t="s">
        <v>248</v>
      </c>
      <c r="T229" s="3"/>
    </row>
    <row r="230" spans="4:20" ht="16" customHeight="1">
      <c r="L230" s="3">
        <v>751.07010000000002</v>
      </c>
      <c r="M230" s="2">
        <v>3</v>
      </c>
      <c r="N230" s="4" t="s">
        <v>249</v>
      </c>
      <c r="T230" s="3"/>
    </row>
    <row r="231" spans="4:20" ht="16" customHeight="1">
      <c r="L231" s="3">
        <v>1014.8197</v>
      </c>
      <c r="M231" s="2">
        <v>3</v>
      </c>
      <c r="N231" s="4" t="s">
        <v>252</v>
      </c>
      <c r="O231" s="2">
        <v>257</v>
      </c>
      <c r="P231" s="2" t="s">
        <v>251</v>
      </c>
      <c r="Q231" s="2" t="s">
        <v>228</v>
      </c>
      <c r="T231" s="3"/>
    </row>
    <row r="232" spans="4:20" ht="16" customHeight="1">
      <c r="L232" s="3">
        <v>527.28300000000002</v>
      </c>
      <c r="M232" s="2">
        <v>2</v>
      </c>
      <c r="N232" s="4" t="s">
        <v>255</v>
      </c>
      <c r="O232" s="2">
        <v>207</v>
      </c>
      <c r="P232" s="2" t="s">
        <v>266</v>
      </c>
      <c r="Q232" s="2" t="s">
        <v>228</v>
      </c>
      <c r="T232" s="3"/>
    </row>
    <row r="233" spans="4:20" ht="16" customHeight="1">
      <c r="E233" s="13">
        <v>9.6736633947003589E-2</v>
      </c>
      <c r="F233" s="13"/>
      <c r="G233" s="13"/>
      <c r="H233" s="2" t="s">
        <v>196</v>
      </c>
      <c r="L233" s="3">
        <v>713.03840000000002</v>
      </c>
      <c r="M233" s="2">
        <v>3</v>
      </c>
      <c r="N233" s="4" t="s">
        <v>272</v>
      </c>
      <c r="O233" s="2">
        <v>80</v>
      </c>
      <c r="P233" s="2" t="s">
        <v>273</v>
      </c>
      <c r="Q233" s="2" t="s">
        <v>259</v>
      </c>
      <c r="T233" s="3"/>
    </row>
    <row r="234" spans="4:20" ht="16" customHeight="1">
      <c r="L234" s="3">
        <v>588.79999999999995</v>
      </c>
      <c r="M234" s="2">
        <v>2</v>
      </c>
      <c r="N234" s="4" t="s">
        <v>270</v>
      </c>
      <c r="O234" s="23" t="s">
        <v>87</v>
      </c>
      <c r="P234" s="2" t="s">
        <v>271</v>
      </c>
      <c r="Q234" s="2" t="s">
        <v>228</v>
      </c>
      <c r="T234" s="3"/>
    </row>
    <row r="235" spans="4:20" ht="16" customHeight="1">
      <c r="E235" s="13">
        <v>0.32435000000000003</v>
      </c>
      <c r="F235" s="13"/>
      <c r="G235" s="13"/>
      <c r="H235" s="2" t="s">
        <v>222</v>
      </c>
      <c r="L235" s="3">
        <v>600.83669999999995</v>
      </c>
      <c r="M235" s="2">
        <v>2</v>
      </c>
      <c r="N235" s="4" t="s">
        <v>239</v>
      </c>
      <c r="O235" s="2">
        <v>352</v>
      </c>
      <c r="P235" s="2" t="s">
        <v>274</v>
      </c>
      <c r="Q235" s="2" t="s">
        <v>228</v>
      </c>
      <c r="T235" s="3"/>
    </row>
    <row r="236" spans="4:20" ht="16" customHeight="1">
      <c r="L236" s="3">
        <v>670.2989</v>
      </c>
      <c r="M236" s="2">
        <v>2</v>
      </c>
      <c r="N236" s="4" t="s">
        <v>248</v>
      </c>
      <c r="P236" s="23"/>
      <c r="T236" s="3"/>
    </row>
    <row r="237" spans="4:20" ht="16" customHeight="1">
      <c r="L237" s="3">
        <v>745.73680000000002</v>
      </c>
      <c r="M237" s="2">
        <v>3</v>
      </c>
      <c r="N237" s="4" t="s">
        <v>249</v>
      </c>
      <c r="T237" s="3"/>
    </row>
    <row r="238" spans="4:20" ht="16" customHeight="1">
      <c r="D238" s="1">
        <v>25</v>
      </c>
      <c r="E238" s="13">
        <v>3.9971089412692437E-2</v>
      </c>
      <c r="F238" s="13"/>
      <c r="G238" s="13"/>
      <c r="H238" s="2" t="s">
        <v>238</v>
      </c>
      <c r="L238" s="3">
        <v>600.83619999999996</v>
      </c>
      <c r="M238" s="2">
        <v>2</v>
      </c>
      <c r="N238" s="4" t="s">
        <v>239</v>
      </c>
      <c r="O238" s="2">
        <v>221</v>
      </c>
      <c r="P238" s="2" t="s">
        <v>274</v>
      </c>
      <c r="Q238" s="2" t="s">
        <v>228</v>
      </c>
      <c r="T238" s="3"/>
    </row>
    <row r="239" spans="4:20" ht="16" customHeight="1">
      <c r="L239" s="3">
        <v>686.2944</v>
      </c>
      <c r="M239" s="2">
        <v>2</v>
      </c>
      <c r="N239" s="4" t="s">
        <v>275</v>
      </c>
      <c r="T239" s="3"/>
    </row>
    <row r="240" spans="4:20" ht="16" customHeight="1">
      <c r="L240" s="3">
        <v>751.0693</v>
      </c>
      <c r="M240" s="2">
        <v>3</v>
      </c>
      <c r="N240" s="4" t="s">
        <v>276</v>
      </c>
      <c r="T240" s="3"/>
    </row>
    <row r="241" spans="5:20" ht="16" customHeight="1">
      <c r="E241" s="13">
        <v>1.1378910587307599E-2</v>
      </c>
      <c r="F241" s="13"/>
      <c r="G241" s="13"/>
      <c r="H241" s="2" t="s">
        <v>238</v>
      </c>
      <c r="L241" s="3">
        <v>453.73700000000002</v>
      </c>
      <c r="M241" s="2">
        <v>2</v>
      </c>
      <c r="N241" s="4" t="s">
        <v>257</v>
      </c>
      <c r="O241" s="2">
        <v>159</v>
      </c>
      <c r="P241" s="2" t="s">
        <v>258</v>
      </c>
      <c r="Q241" s="2" t="s">
        <v>259</v>
      </c>
      <c r="T241" s="3"/>
    </row>
    <row r="242" spans="5:20" ht="16" customHeight="1">
      <c r="L242" s="3">
        <v>543.33199999999999</v>
      </c>
      <c r="M242" s="2">
        <v>2</v>
      </c>
      <c r="N242" s="4" t="s">
        <v>260</v>
      </c>
      <c r="T242" s="3"/>
    </row>
    <row r="243" spans="5:20" ht="16" customHeight="1">
      <c r="L243" s="3">
        <v>713.03750000000002</v>
      </c>
      <c r="M243" s="2">
        <v>3</v>
      </c>
      <c r="N243" s="4" t="s">
        <v>272</v>
      </c>
      <c r="O243" s="2">
        <v>124</v>
      </c>
      <c r="P243" s="23" t="s">
        <v>277</v>
      </c>
      <c r="Q243" s="2" t="s">
        <v>259</v>
      </c>
      <c r="T243" s="3"/>
    </row>
    <row r="244" spans="5:20" ht="16" customHeight="1">
      <c r="L244" s="3">
        <v>526.79</v>
      </c>
      <c r="M244" s="2">
        <v>2</v>
      </c>
      <c r="N244" s="4" t="s">
        <v>255</v>
      </c>
      <c r="O244" s="2">
        <v>117</v>
      </c>
      <c r="P244" s="2" t="s">
        <v>278</v>
      </c>
      <c r="Q244" s="2" t="s">
        <v>228</v>
      </c>
      <c r="T244" s="3"/>
    </row>
    <row r="245" spans="5:20" ht="16" customHeight="1">
      <c r="L245" s="3">
        <v>588.79999999999995</v>
      </c>
      <c r="M245" s="2">
        <v>2</v>
      </c>
      <c r="N245" s="4" t="s">
        <v>270</v>
      </c>
      <c r="O245" s="23" t="s">
        <v>87</v>
      </c>
      <c r="P245" s="2" t="s">
        <v>271</v>
      </c>
      <c r="Q245" s="2" t="s">
        <v>228</v>
      </c>
      <c r="T245" s="3"/>
    </row>
    <row r="246" spans="5:20" ht="16" customHeight="1">
      <c r="E246" s="28">
        <v>0.17671999999999999</v>
      </c>
      <c r="F246" s="28"/>
      <c r="G246" s="28"/>
      <c r="H246" s="2" t="s">
        <v>279</v>
      </c>
      <c r="L246" s="3">
        <v>688.32539999999995</v>
      </c>
      <c r="M246" s="2">
        <v>2</v>
      </c>
      <c r="N246" s="4" t="s">
        <v>280</v>
      </c>
      <c r="O246" s="2">
        <v>120</v>
      </c>
      <c r="P246" s="2" t="s">
        <v>281</v>
      </c>
      <c r="Q246" s="2" t="s">
        <v>166</v>
      </c>
      <c r="T246" s="3"/>
    </row>
    <row r="247" spans="5:20" ht="16" customHeight="1">
      <c r="L247" s="3">
        <v>646.66420000000005</v>
      </c>
      <c r="M247" s="2">
        <v>3</v>
      </c>
      <c r="N247" s="4" t="s">
        <v>282</v>
      </c>
    </row>
    <row r="248" spans="5:20" ht="16" customHeight="1">
      <c r="L248" s="3">
        <v>618.32479999999998</v>
      </c>
      <c r="M248" s="2">
        <v>2</v>
      </c>
      <c r="N248" s="4" t="s">
        <v>243</v>
      </c>
      <c r="O248" s="2">
        <v>75</v>
      </c>
      <c r="P248" s="23" t="s">
        <v>283</v>
      </c>
      <c r="Q248" s="2" t="s">
        <v>166</v>
      </c>
    </row>
    <row r="249" spans="5:20" ht="16" customHeight="1">
      <c r="E249" s="13">
        <v>0.14393</v>
      </c>
      <c r="F249" s="13"/>
      <c r="G249" s="13"/>
      <c r="H249" s="2" t="s">
        <v>284</v>
      </c>
      <c r="L249" s="3">
        <v>651.99659999999994</v>
      </c>
      <c r="M249" s="2">
        <v>3</v>
      </c>
      <c r="N249" s="4" t="s">
        <v>285</v>
      </c>
      <c r="O249" s="2">
        <v>88</v>
      </c>
      <c r="P249" s="2" t="s">
        <v>286</v>
      </c>
      <c r="Q249" s="2" t="s">
        <v>166</v>
      </c>
    </row>
    <row r="250" spans="5:20" ht="16" customHeight="1">
      <c r="E250" s="24">
        <f>SUM(E10:E249)</f>
        <v>99.999451233082397</v>
      </c>
      <c r="F250" s="13"/>
      <c r="G250" s="13"/>
      <c r="J250" s="2"/>
      <c r="L250" s="3">
        <v>618.32529999999997</v>
      </c>
      <c r="M250" s="2">
        <v>2</v>
      </c>
      <c r="N250" s="4" t="s">
        <v>243</v>
      </c>
      <c r="O250" s="2">
        <v>75</v>
      </c>
      <c r="P250" s="2" t="s">
        <v>287</v>
      </c>
      <c r="Q250" s="2" t="s">
        <v>166</v>
      </c>
    </row>
    <row r="258" spans="4:16" ht="16" customHeight="1">
      <c r="D258" s="2"/>
      <c r="P258" s="23"/>
    </row>
    <row r="259" spans="4:16" ht="16" customHeight="1">
      <c r="D259" s="20"/>
    </row>
    <row r="260" spans="4:16" ht="16" customHeight="1">
      <c r="D260" s="20"/>
    </row>
    <row r="261" spans="4:16" ht="16" customHeight="1">
      <c r="P261" s="23"/>
    </row>
    <row r="266" spans="4:16" ht="16" customHeight="1">
      <c r="D266" s="20"/>
    </row>
    <row r="267" spans="4:16" ht="16" customHeight="1">
      <c r="P267" s="23"/>
    </row>
    <row r="276" spans="4:4" ht="16" customHeight="1">
      <c r="D276" s="20"/>
    </row>
    <row r="277" spans="4:4" ht="16" customHeight="1">
      <c r="D277" s="20"/>
    </row>
    <row r="278" spans="4:4" ht="16" customHeight="1">
      <c r="D278" s="20"/>
    </row>
    <row r="279" spans="4:4" ht="16" customHeight="1">
      <c r="D279" s="20"/>
    </row>
    <row r="281" spans="4:4" ht="16" customHeight="1">
      <c r="D281" s="20"/>
    </row>
    <row r="284" spans="4:4" ht="16" customHeight="1">
      <c r="D284" s="20"/>
    </row>
    <row r="285" spans="4:4" ht="16" customHeight="1">
      <c r="D285" s="20"/>
    </row>
  </sheetData>
  <mergeCells count="6">
    <mergeCell ref="Y8:AE8"/>
    <mergeCell ref="D6:H6"/>
    <mergeCell ref="J6:Q6"/>
    <mergeCell ref="S6:W6"/>
    <mergeCell ref="Y6:AD6"/>
    <mergeCell ref="S7:T7"/>
  </mergeCells>
  <hyperlinks>
    <hyperlink ref="B13" location="'W. aegyptia (Sinai)'!A1" display="Table S1" xr:uid="{8D5D18EB-603D-9844-A65E-258E93C05809}"/>
    <hyperlink ref="B14" location="'W. aegyptia (Riyadh)'!A1" display="Table S2" xr:uid="{0B961158-C1DD-B647-9CB0-A511BF49B672}"/>
    <hyperlink ref="B15" location="'W. morgani'!A1" display="Table S3" xr:uid="{3E04A546-EFE2-C944-85A6-87D964DDE3FC}"/>
    <hyperlink ref="B16" location="'Top-Down MS IDs'!A1" display="Table S4" xr:uid="{5B9B7BE3-A93E-0440-98DE-0165B3C6F265}"/>
    <hyperlink ref="B12" location="'Transcriptomic database'!A1" display="Table S5" xr:uid="{BB645829-2BD8-0842-81FB-B135B46A1E61}"/>
    <hyperlink ref="B17" location="'W. aegyptia (Sinai) ICP-MS'!A1" display="Table S6" xr:uid="{D26BF838-5B0F-144E-95C0-1B439BFC2D30}"/>
    <hyperlink ref="B18" location="'W. aegyptia (Riyadh) ICP-MS'!A1" display="Table S7" xr:uid="{0BF24736-61AA-6C48-ADDF-18DE3664A7B7}"/>
    <hyperlink ref="B19" location="'W. morgani ICP-MS'!A1" display="Table S8" xr:uid="{2FC55C76-BDDD-E145-BF3D-D652C6607E15}"/>
    <hyperlink ref="B11" location="INDEX!A1" display="INDEX" xr:uid="{CCBE4E1D-10C8-9344-970C-590332B17ADD}"/>
  </hyperlinks>
  <pageMargins left="0.7" right="0.7" top="0.75" bottom="0.75" header="0.3" footer="0.3"/>
  <pageSetup paperSize="9" scale="46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26D0-EAF4-D345-A5DE-33BA74A252E0}">
  <dimension ref="A3:S60"/>
  <sheetViews>
    <sheetView workbookViewId="0">
      <selection activeCell="K62" sqref="K62"/>
    </sheetView>
  </sheetViews>
  <sheetFormatPr baseColWidth="10" defaultRowHeight="16"/>
  <cols>
    <col min="2" max="2" width="10.83203125" style="22"/>
    <col min="4" max="4" width="16.33203125" style="237" customWidth="1"/>
    <col min="5" max="5" width="13.33203125" style="237" bestFit="1" customWidth="1"/>
    <col min="6" max="6" width="18.83203125" style="22" customWidth="1"/>
    <col min="7" max="8" width="11" style="22" bestFit="1" customWidth="1"/>
    <col min="9" max="9" width="16.5" style="22" customWidth="1"/>
    <col min="10" max="10" width="10.83203125" style="22"/>
    <col min="11" max="11" width="11.6640625" style="85" customWidth="1"/>
    <col min="12" max="12" width="34.1640625" customWidth="1"/>
  </cols>
  <sheetData>
    <row r="3" spans="1:19" s="80" customFormat="1" ht="19">
      <c r="A3" s="89"/>
      <c r="B3" s="81"/>
      <c r="C3"/>
      <c r="D3" s="89" t="s">
        <v>1002</v>
      </c>
      <c r="E3" s="81"/>
      <c r="F3" s="81"/>
      <c r="G3" s="81"/>
      <c r="H3" s="81"/>
      <c r="I3" s="81"/>
      <c r="J3" s="81"/>
      <c r="K3" s="82"/>
    </row>
    <row r="7" spans="1:19" s="90" customFormat="1" ht="19">
      <c r="B7" s="72"/>
      <c r="C7"/>
      <c r="D7" s="266" t="s">
        <v>916</v>
      </c>
      <c r="E7" s="266"/>
      <c r="F7" s="266"/>
      <c r="G7"/>
      <c r="H7"/>
      <c r="I7" s="244" t="s">
        <v>967</v>
      </c>
      <c r="J7" s="72"/>
      <c r="K7" s="44"/>
    </row>
    <row r="8" spans="1:19">
      <c r="F8" s="66"/>
      <c r="G8" s="66"/>
      <c r="H8" s="66"/>
      <c r="I8" s="66"/>
      <c r="J8" s="66"/>
      <c r="K8" s="51"/>
      <c r="L8" s="43"/>
      <c r="M8" s="43"/>
      <c r="N8" s="43"/>
      <c r="O8" s="43"/>
      <c r="P8" s="43"/>
      <c r="Q8" s="43"/>
      <c r="R8" s="43"/>
      <c r="S8" s="43"/>
    </row>
    <row r="9" spans="1:19" ht="51">
      <c r="D9" s="238" t="s">
        <v>963</v>
      </c>
      <c r="E9" s="245" t="s">
        <v>968</v>
      </c>
      <c r="F9" s="91" t="s">
        <v>558</v>
      </c>
      <c r="G9" s="91" t="s">
        <v>559</v>
      </c>
      <c r="H9" s="91" t="s">
        <v>560</v>
      </c>
      <c r="I9" s="92" t="s">
        <v>17</v>
      </c>
      <c r="J9" s="92" t="s">
        <v>18</v>
      </c>
      <c r="K9" s="92" t="s">
        <v>561</v>
      </c>
      <c r="L9" s="92" t="s">
        <v>562</v>
      </c>
      <c r="M9" s="92" t="s">
        <v>563</v>
      </c>
      <c r="N9" s="43"/>
      <c r="O9" s="43"/>
      <c r="P9" s="43"/>
      <c r="Q9" s="43"/>
      <c r="R9" s="43"/>
      <c r="S9" s="43"/>
    </row>
    <row r="10" spans="1:19" ht="8" customHeight="1">
      <c r="F10" s="93"/>
      <c r="G10" s="93"/>
      <c r="H10" s="93"/>
      <c r="I10" s="94"/>
      <c r="J10" s="94"/>
      <c r="K10" s="253"/>
      <c r="L10" s="94"/>
      <c r="M10" s="94"/>
      <c r="N10" s="43"/>
      <c r="O10" s="43"/>
      <c r="P10" s="43"/>
      <c r="Q10" s="43"/>
      <c r="R10" s="43"/>
      <c r="S10" s="43"/>
    </row>
    <row r="11" spans="1:19">
      <c r="D11" s="22" t="s">
        <v>940</v>
      </c>
      <c r="E11" s="22">
        <v>22.48</v>
      </c>
      <c r="F11" s="22">
        <v>4</v>
      </c>
      <c r="G11" s="22">
        <v>6848.07</v>
      </c>
      <c r="H11" s="22">
        <v>6856.14</v>
      </c>
      <c r="I11" s="22">
        <v>5.5851999999999999E-21</v>
      </c>
      <c r="J11" s="22" t="s">
        <v>25</v>
      </c>
      <c r="K11" s="85" t="s">
        <v>564</v>
      </c>
      <c r="L11" t="s">
        <v>998</v>
      </c>
      <c r="M11" t="s">
        <v>565</v>
      </c>
      <c r="N11" s="43"/>
      <c r="O11" s="43"/>
      <c r="P11" s="43"/>
      <c r="Q11" s="43"/>
      <c r="R11" s="43"/>
      <c r="S11" s="43"/>
    </row>
    <row r="12" spans="1:19">
      <c r="B12" s="66"/>
      <c r="D12" s="22">
        <v>1</v>
      </c>
      <c r="E12" s="22">
        <v>22.48</v>
      </c>
      <c r="F12" s="22">
        <v>3</v>
      </c>
      <c r="G12" s="22">
        <v>6662.01</v>
      </c>
      <c r="H12" s="22">
        <v>6668.06</v>
      </c>
      <c r="I12" s="22">
        <v>5.1731400000000002E-22</v>
      </c>
      <c r="J12" s="22" t="s">
        <v>41</v>
      </c>
      <c r="K12" s="85" t="s">
        <v>576</v>
      </c>
      <c r="L12" t="s">
        <v>40</v>
      </c>
      <c r="M12" t="s">
        <v>527</v>
      </c>
      <c r="N12" s="43"/>
      <c r="O12" s="43"/>
      <c r="P12" s="43"/>
      <c r="Q12" s="43"/>
      <c r="R12" s="43"/>
      <c r="S12" s="43"/>
    </row>
    <row r="13" spans="1:19" ht="16" customHeight="1">
      <c r="B13" s="224"/>
      <c r="D13" s="22" t="s">
        <v>940</v>
      </c>
      <c r="E13" s="22">
        <v>22.48</v>
      </c>
      <c r="F13" s="22">
        <v>3</v>
      </c>
      <c r="G13" s="22">
        <v>6775.09</v>
      </c>
      <c r="H13" s="22">
        <v>6781.14</v>
      </c>
      <c r="I13" s="22">
        <v>1.5053E-16</v>
      </c>
      <c r="J13" s="22" t="s">
        <v>41</v>
      </c>
      <c r="K13" s="85" t="s">
        <v>576</v>
      </c>
      <c r="L13" t="s">
        <v>40</v>
      </c>
      <c r="M13" t="s">
        <v>529</v>
      </c>
      <c r="N13" s="43"/>
      <c r="O13" s="43"/>
      <c r="P13" s="43"/>
      <c r="Q13" s="43"/>
      <c r="R13" s="43"/>
      <c r="S13" s="43"/>
    </row>
    <row r="14" spans="1:19" ht="16" customHeight="1">
      <c r="B14" s="225" t="s">
        <v>724</v>
      </c>
      <c r="D14" s="22" t="s">
        <v>969</v>
      </c>
      <c r="E14" s="22">
        <v>34.08</v>
      </c>
      <c r="F14" s="22">
        <v>3</v>
      </c>
      <c r="G14" s="22">
        <v>6342.95</v>
      </c>
      <c r="H14" s="22">
        <v>6349</v>
      </c>
      <c r="I14" s="22">
        <v>1.51578E-32</v>
      </c>
      <c r="J14" s="22" t="s">
        <v>41</v>
      </c>
      <c r="K14" s="85" t="s">
        <v>577</v>
      </c>
      <c r="L14" t="s">
        <v>48</v>
      </c>
      <c r="M14" t="s">
        <v>535</v>
      </c>
      <c r="N14" s="43"/>
      <c r="O14" s="43"/>
      <c r="P14" s="43"/>
      <c r="Q14" s="43"/>
      <c r="R14" s="43"/>
      <c r="S14" s="43"/>
    </row>
    <row r="15" spans="1:19" ht="16" customHeight="1">
      <c r="B15" s="225" t="s">
        <v>725</v>
      </c>
      <c r="D15" s="22" t="s">
        <v>969</v>
      </c>
      <c r="E15" s="22">
        <v>34.08</v>
      </c>
      <c r="F15" s="22">
        <v>5</v>
      </c>
      <c r="G15" s="22">
        <v>7329.17</v>
      </c>
      <c r="H15" s="22">
        <v>7339.26</v>
      </c>
      <c r="I15" s="22">
        <v>1.96606E-11</v>
      </c>
      <c r="J15" s="22" t="s">
        <v>502</v>
      </c>
      <c r="K15" s="85" t="s">
        <v>503</v>
      </c>
      <c r="L15" t="s">
        <v>970</v>
      </c>
      <c r="M15" t="s">
        <v>971</v>
      </c>
      <c r="N15" s="43"/>
      <c r="O15" s="43"/>
      <c r="P15" s="43"/>
      <c r="Q15" s="43"/>
      <c r="R15" s="43"/>
      <c r="S15" s="43"/>
    </row>
    <row r="16" spans="1:19" ht="16" customHeight="1">
      <c r="B16" s="225" t="s">
        <v>726</v>
      </c>
      <c r="D16" s="22">
        <v>4</v>
      </c>
      <c r="E16" s="22">
        <v>37.72</v>
      </c>
      <c r="F16" s="22">
        <v>5</v>
      </c>
      <c r="G16" s="22">
        <v>7394.47</v>
      </c>
      <c r="H16" s="22">
        <v>7404.54</v>
      </c>
      <c r="I16" s="22">
        <v>3.1088000000000002E-11</v>
      </c>
      <c r="J16" s="22" t="s">
        <v>25</v>
      </c>
      <c r="K16" s="85" t="s">
        <v>566</v>
      </c>
      <c r="L16" t="s">
        <v>999</v>
      </c>
      <c r="M16" t="s">
        <v>567</v>
      </c>
      <c r="N16" s="43"/>
      <c r="O16" s="43"/>
      <c r="P16" s="43"/>
      <c r="Q16" s="43"/>
      <c r="R16" s="43"/>
      <c r="S16" s="43"/>
    </row>
    <row r="17" spans="2:19" ht="16" customHeight="1">
      <c r="B17" s="225" t="s">
        <v>727</v>
      </c>
      <c r="D17" s="22" t="s">
        <v>930</v>
      </c>
      <c r="E17" s="22">
        <v>39.39</v>
      </c>
      <c r="F17" s="22">
        <v>4</v>
      </c>
      <c r="G17" s="22">
        <v>6601.91</v>
      </c>
      <c r="H17" s="22" t="s">
        <v>776</v>
      </c>
      <c r="I17" s="22">
        <v>4.5244320000000003E-6</v>
      </c>
      <c r="J17" s="22" t="s">
        <v>25</v>
      </c>
      <c r="K17" s="85" t="s">
        <v>783</v>
      </c>
      <c r="L17" t="s">
        <v>784</v>
      </c>
      <c r="M17" t="s">
        <v>782</v>
      </c>
      <c r="N17" s="22"/>
      <c r="O17" s="43"/>
      <c r="P17" s="43"/>
      <c r="Q17" s="43"/>
      <c r="R17" s="43"/>
      <c r="S17" s="43"/>
    </row>
    <row r="18" spans="2:19" ht="16" customHeight="1">
      <c r="B18" s="225" t="s">
        <v>728</v>
      </c>
      <c r="D18" s="22" t="s">
        <v>930</v>
      </c>
      <c r="E18" s="22">
        <v>39.39</v>
      </c>
      <c r="F18" s="22">
        <v>3</v>
      </c>
      <c r="G18" s="22">
        <v>6389.86</v>
      </c>
      <c r="H18" s="22">
        <v>6395.91</v>
      </c>
      <c r="I18" s="22">
        <v>2.1840800000000001E-44</v>
      </c>
      <c r="J18" s="22" t="s">
        <v>41</v>
      </c>
      <c r="K18" s="85" t="s">
        <v>578</v>
      </c>
      <c r="L18" t="s">
        <v>80</v>
      </c>
      <c r="M18" t="s">
        <v>568</v>
      </c>
      <c r="N18" s="43"/>
      <c r="O18" s="43"/>
      <c r="P18" s="43"/>
      <c r="Q18" s="43"/>
      <c r="R18" s="43"/>
      <c r="S18" s="43"/>
    </row>
    <row r="19" spans="2:19" s="43" customFormat="1" ht="16" customHeight="1">
      <c r="B19" s="225" t="s">
        <v>729</v>
      </c>
      <c r="C19"/>
      <c r="D19" s="22" t="s">
        <v>935</v>
      </c>
      <c r="E19" s="22" t="s">
        <v>972</v>
      </c>
      <c r="F19" s="22">
        <v>4</v>
      </c>
      <c r="G19" s="22">
        <v>7378.5</v>
      </c>
      <c r="H19" s="22">
        <v>7386.57</v>
      </c>
      <c r="I19" s="22" t="s">
        <v>569</v>
      </c>
      <c r="J19" s="22" t="s">
        <v>492</v>
      </c>
      <c r="K19" s="85" t="s">
        <v>575</v>
      </c>
      <c r="L19" t="s">
        <v>579</v>
      </c>
      <c r="M19" t="s">
        <v>570</v>
      </c>
    </row>
    <row r="20" spans="2:19" ht="16" customHeight="1">
      <c r="B20" s="225" t="s">
        <v>730</v>
      </c>
      <c r="D20" s="22">
        <v>7</v>
      </c>
      <c r="E20" s="22" t="s">
        <v>972</v>
      </c>
      <c r="F20" s="22">
        <v>4</v>
      </c>
      <c r="G20" s="22">
        <v>7347.3</v>
      </c>
      <c r="H20" s="22">
        <v>7354.4</v>
      </c>
      <c r="I20" s="22">
        <v>1.2090119909999999E-5</v>
      </c>
      <c r="J20" s="22" t="s">
        <v>25</v>
      </c>
      <c r="K20" s="85" t="s">
        <v>989</v>
      </c>
      <c r="L20" t="s">
        <v>973</v>
      </c>
      <c r="M20" t="s">
        <v>785</v>
      </c>
      <c r="N20" s="43"/>
      <c r="O20" s="43"/>
      <c r="P20" s="43"/>
      <c r="Q20" s="43"/>
      <c r="R20" s="43"/>
      <c r="S20" s="43"/>
    </row>
    <row r="21" spans="2:19" ht="16" customHeight="1">
      <c r="B21" s="225" t="s">
        <v>731</v>
      </c>
      <c r="D21" s="22" t="s">
        <v>932</v>
      </c>
      <c r="E21" s="22">
        <v>57.47</v>
      </c>
      <c r="F21" s="22">
        <v>7</v>
      </c>
      <c r="G21" s="22">
        <v>13333.52</v>
      </c>
      <c r="H21" s="22">
        <v>13347.65</v>
      </c>
      <c r="I21" s="246" t="s">
        <v>966</v>
      </c>
      <c r="J21" s="22" t="s">
        <v>646</v>
      </c>
      <c r="K21" s="85" t="s">
        <v>571</v>
      </c>
      <c r="L21" t="s">
        <v>1000</v>
      </c>
      <c r="M21" t="s">
        <v>572</v>
      </c>
      <c r="N21" s="43"/>
      <c r="O21" s="43"/>
      <c r="P21" s="43"/>
      <c r="Q21" s="43"/>
      <c r="R21" s="43"/>
      <c r="S21" s="43"/>
    </row>
    <row r="22" spans="2:19" ht="16" customHeight="1">
      <c r="B22" s="225" t="s">
        <v>732</v>
      </c>
      <c r="D22" s="22" t="s">
        <v>933</v>
      </c>
      <c r="E22" s="22">
        <v>59.41</v>
      </c>
      <c r="F22" s="22">
        <v>7</v>
      </c>
      <c r="G22" s="22">
        <v>13335.54</v>
      </c>
      <c r="H22" s="22">
        <v>13349.65</v>
      </c>
      <c r="I22" s="22" t="s">
        <v>966</v>
      </c>
      <c r="J22" s="22" t="s">
        <v>649</v>
      </c>
      <c r="K22" s="85" t="s">
        <v>571</v>
      </c>
      <c r="L22" t="s">
        <v>1000</v>
      </c>
      <c r="M22" t="s">
        <v>573</v>
      </c>
      <c r="N22" s="43"/>
      <c r="O22" s="43"/>
      <c r="P22" s="43"/>
      <c r="Q22" s="43"/>
      <c r="R22" s="43"/>
      <c r="S22" s="43"/>
    </row>
    <row r="23" spans="2:19" ht="16" customHeight="1">
      <c r="B23" s="224"/>
      <c r="D23" s="22" t="s">
        <v>569</v>
      </c>
      <c r="E23" s="22">
        <v>70.849999999999994</v>
      </c>
      <c r="F23" s="22">
        <v>3</v>
      </c>
      <c r="G23" s="22">
        <v>13328.19</v>
      </c>
      <c r="H23" s="22">
        <v>13334.29</v>
      </c>
      <c r="I23" s="22" t="s">
        <v>966</v>
      </c>
      <c r="J23" s="22" t="s">
        <v>145</v>
      </c>
      <c r="K23" s="85" t="s">
        <v>146</v>
      </c>
      <c r="L23" t="s">
        <v>1001</v>
      </c>
      <c r="M23" t="s">
        <v>574</v>
      </c>
      <c r="N23" s="43"/>
      <c r="O23" s="43"/>
      <c r="P23" s="43"/>
      <c r="Q23" s="43"/>
      <c r="R23" s="43"/>
      <c r="S23" s="43"/>
    </row>
    <row r="24" spans="2:19">
      <c r="B24" s="66"/>
      <c r="O24" s="43"/>
      <c r="P24" s="43"/>
      <c r="Q24" s="43"/>
      <c r="R24" s="43"/>
      <c r="S24" s="43"/>
    </row>
    <row r="25" spans="2:19">
      <c r="F25" s="66"/>
      <c r="G25" s="66"/>
      <c r="H25" s="66"/>
      <c r="I25" s="66"/>
      <c r="J25" s="66"/>
      <c r="K25" s="51"/>
      <c r="L25" s="43"/>
      <c r="M25" s="43"/>
      <c r="N25" s="43"/>
      <c r="O25" s="43"/>
      <c r="P25" s="43"/>
      <c r="Q25" s="43"/>
      <c r="R25" s="43"/>
      <c r="S25" s="43"/>
    </row>
    <row r="26" spans="2:19" ht="19">
      <c r="D26" s="266" t="s">
        <v>915</v>
      </c>
      <c r="E26" s="266"/>
      <c r="F26" s="266"/>
      <c r="G26" s="247"/>
      <c r="H26" s="247"/>
      <c r="I26" s="66"/>
      <c r="J26" s="66"/>
      <c r="K26" s="51"/>
      <c r="L26" s="43"/>
      <c r="M26" s="43"/>
      <c r="N26" s="43"/>
      <c r="O26" s="43"/>
      <c r="P26" s="43"/>
      <c r="Q26" s="43"/>
      <c r="R26" s="43"/>
      <c r="S26" s="43"/>
    </row>
    <row r="27" spans="2:19">
      <c r="F27" s="66"/>
      <c r="G27" s="66"/>
      <c r="H27" s="66"/>
      <c r="I27" s="66"/>
      <c r="J27" s="66"/>
      <c r="K27" s="51"/>
      <c r="L27" s="43"/>
      <c r="M27" s="43"/>
      <c r="N27" s="43"/>
      <c r="O27" s="43"/>
      <c r="P27" s="43"/>
      <c r="Q27" s="43"/>
      <c r="R27" s="43"/>
      <c r="S27" s="43"/>
    </row>
    <row r="28" spans="2:19" ht="51">
      <c r="D28" s="238" t="s">
        <v>964</v>
      </c>
      <c r="E28" s="245" t="s">
        <v>968</v>
      </c>
      <c r="F28" s="91" t="s">
        <v>558</v>
      </c>
      <c r="G28" s="91" t="s">
        <v>559</v>
      </c>
      <c r="H28" s="91" t="s">
        <v>560</v>
      </c>
      <c r="I28" s="92" t="s">
        <v>17</v>
      </c>
      <c r="J28" s="92" t="s">
        <v>18</v>
      </c>
      <c r="K28" s="92" t="s">
        <v>561</v>
      </c>
      <c r="L28" s="92" t="s">
        <v>562</v>
      </c>
      <c r="M28" s="92" t="s">
        <v>563</v>
      </c>
      <c r="N28" s="43"/>
      <c r="O28" s="43"/>
      <c r="P28" s="43"/>
      <c r="Q28" s="43"/>
      <c r="R28" s="43"/>
      <c r="S28" s="43"/>
    </row>
    <row r="29" spans="2:19" ht="8" customHeight="1">
      <c r="F29" s="93"/>
      <c r="G29" s="93"/>
      <c r="H29" s="93"/>
      <c r="I29" s="94"/>
      <c r="J29" s="94"/>
      <c r="K29" s="253"/>
      <c r="L29" s="94"/>
      <c r="M29" s="94"/>
      <c r="N29" s="43"/>
      <c r="O29" s="43"/>
      <c r="P29" s="43"/>
      <c r="Q29" s="43"/>
      <c r="R29" s="43"/>
      <c r="S29" s="43"/>
    </row>
    <row r="30" spans="2:19">
      <c r="D30" s="248" t="s">
        <v>974</v>
      </c>
      <c r="E30" s="22" t="s">
        <v>975</v>
      </c>
      <c r="F30" s="22">
        <v>4</v>
      </c>
      <c r="G30" s="22">
        <v>6848.07</v>
      </c>
      <c r="H30" s="22">
        <v>6856.14</v>
      </c>
      <c r="I30" s="22">
        <v>6.0084000000000002E-22</v>
      </c>
      <c r="J30" s="22" t="s">
        <v>25</v>
      </c>
      <c r="K30" s="85" t="s">
        <v>564</v>
      </c>
      <c r="L30" t="s">
        <v>998</v>
      </c>
      <c r="M30" s="43" t="s">
        <v>565</v>
      </c>
      <c r="N30" s="43"/>
      <c r="O30" s="43"/>
      <c r="P30" s="43"/>
      <c r="Q30" s="43"/>
      <c r="R30" s="43"/>
      <c r="S30" s="43"/>
    </row>
    <row r="31" spans="2:19">
      <c r="D31" s="248" t="s">
        <v>974</v>
      </c>
      <c r="E31" s="22" t="s">
        <v>975</v>
      </c>
      <c r="F31" s="22">
        <v>3</v>
      </c>
      <c r="G31" s="22">
        <v>6662.02</v>
      </c>
      <c r="H31" s="22">
        <v>6668.06</v>
      </c>
      <c r="I31" s="22">
        <v>1.233776E-20</v>
      </c>
      <c r="J31" s="22" t="s">
        <v>41</v>
      </c>
      <c r="K31" s="85" t="s">
        <v>576</v>
      </c>
      <c r="L31" t="s">
        <v>40</v>
      </c>
      <c r="M31" s="43" t="s">
        <v>527</v>
      </c>
      <c r="N31" s="43"/>
      <c r="O31" s="43"/>
      <c r="P31" s="43"/>
      <c r="Q31" s="43"/>
      <c r="R31" s="43"/>
      <c r="S31" s="43"/>
    </row>
    <row r="32" spans="2:19">
      <c r="D32" s="22" t="s">
        <v>974</v>
      </c>
      <c r="E32" s="22" t="s">
        <v>975</v>
      </c>
      <c r="F32" s="22">
        <v>3</v>
      </c>
      <c r="G32" s="22">
        <v>6775.08</v>
      </c>
      <c r="H32" s="22">
        <v>6781.11</v>
      </c>
      <c r="I32" s="22" t="s">
        <v>966</v>
      </c>
      <c r="J32" s="22" t="s">
        <v>41</v>
      </c>
      <c r="K32" s="85" t="s">
        <v>576</v>
      </c>
      <c r="L32" t="s">
        <v>40</v>
      </c>
      <c r="M32" s="43" t="s">
        <v>529</v>
      </c>
      <c r="N32" s="43"/>
      <c r="O32" s="43"/>
      <c r="P32" s="43"/>
      <c r="Q32" s="43"/>
      <c r="R32" s="43"/>
      <c r="S32" s="43"/>
    </row>
    <row r="33" spans="2:19">
      <c r="D33" s="22" t="s">
        <v>942</v>
      </c>
      <c r="E33" s="22">
        <v>31.44</v>
      </c>
      <c r="F33" s="22">
        <v>3</v>
      </c>
      <c r="G33" s="22">
        <v>6662.02</v>
      </c>
      <c r="H33" s="22">
        <v>6668.06</v>
      </c>
      <c r="I33" s="22">
        <v>1.233776E-20</v>
      </c>
      <c r="J33" s="22" t="s">
        <v>41</v>
      </c>
      <c r="K33" s="85" t="s">
        <v>576</v>
      </c>
      <c r="L33" t="s">
        <v>40</v>
      </c>
      <c r="M33" s="43" t="s">
        <v>527</v>
      </c>
      <c r="N33" s="43"/>
      <c r="O33" s="43"/>
      <c r="P33" s="43"/>
      <c r="Q33" s="43"/>
      <c r="R33" s="43"/>
      <c r="S33" s="43"/>
    </row>
    <row r="34" spans="2:19">
      <c r="D34" s="22" t="s">
        <v>942</v>
      </c>
      <c r="E34" s="22">
        <v>34.01</v>
      </c>
      <c r="F34" s="22">
        <v>5</v>
      </c>
      <c r="G34" s="22">
        <v>7329.17</v>
      </c>
      <c r="H34" s="22">
        <v>7339.25</v>
      </c>
      <c r="I34" s="22">
        <v>1.96606E-11</v>
      </c>
      <c r="J34" s="22" t="s">
        <v>502</v>
      </c>
      <c r="K34" s="85" t="s">
        <v>503</v>
      </c>
      <c r="L34" t="s">
        <v>970</v>
      </c>
      <c r="M34" t="s">
        <v>971</v>
      </c>
      <c r="N34" s="43"/>
      <c r="O34" s="43"/>
      <c r="P34" s="43"/>
      <c r="Q34" s="43"/>
      <c r="R34" s="43"/>
      <c r="S34" s="43"/>
    </row>
    <row r="35" spans="2:19">
      <c r="D35" s="248" t="s">
        <v>942</v>
      </c>
      <c r="E35" s="22">
        <v>36.83</v>
      </c>
      <c r="F35" s="22">
        <v>3</v>
      </c>
      <c r="G35" s="22">
        <v>6089.79</v>
      </c>
      <c r="H35" s="22">
        <v>6095.85</v>
      </c>
      <c r="I35" s="22">
        <v>3.2597999999999998E-8</v>
      </c>
      <c r="J35" s="22" t="s">
        <v>41</v>
      </c>
      <c r="K35" s="85" t="s">
        <v>577</v>
      </c>
      <c r="L35" t="s">
        <v>48</v>
      </c>
      <c r="M35" s="43" t="s">
        <v>506</v>
      </c>
      <c r="N35" s="43"/>
      <c r="O35" s="43"/>
      <c r="P35" s="43"/>
      <c r="Q35" s="43"/>
      <c r="R35" s="43"/>
      <c r="S35" s="43"/>
    </row>
    <row r="36" spans="2:19">
      <c r="D36" s="22" t="s">
        <v>942</v>
      </c>
      <c r="E36" s="22">
        <v>36.83</v>
      </c>
      <c r="F36" s="22">
        <v>3</v>
      </c>
      <c r="G36" s="22">
        <v>6367.72</v>
      </c>
      <c r="H36" s="22">
        <v>6363.93</v>
      </c>
      <c r="I36" s="22">
        <v>5.9209951499999994E-14</v>
      </c>
      <c r="J36" s="22" t="s">
        <v>41</v>
      </c>
      <c r="K36" s="85" t="s">
        <v>81</v>
      </c>
      <c r="L36" t="s">
        <v>786</v>
      </c>
      <c r="M36" s="43" t="s">
        <v>771</v>
      </c>
      <c r="N36" s="43"/>
      <c r="O36" s="43"/>
      <c r="P36" s="43"/>
      <c r="Q36" s="43"/>
      <c r="R36" s="43"/>
      <c r="S36" s="43"/>
    </row>
    <row r="37" spans="2:19">
      <c r="D37" s="22" t="s">
        <v>935</v>
      </c>
      <c r="E37" s="22">
        <v>40.01</v>
      </c>
      <c r="F37" s="22">
        <v>3</v>
      </c>
      <c r="G37" s="22">
        <v>6389.86</v>
      </c>
      <c r="H37" s="22">
        <v>6395.91</v>
      </c>
      <c r="I37" s="22">
        <v>4.7583999999999997E-42</v>
      </c>
      <c r="J37" s="22" t="s">
        <v>41</v>
      </c>
      <c r="K37" s="85" t="s">
        <v>578</v>
      </c>
      <c r="L37" t="s">
        <v>786</v>
      </c>
      <c r="M37" s="43" t="s">
        <v>568</v>
      </c>
      <c r="N37" s="43"/>
      <c r="O37" s="43"/>
      <c r="P37" s="43"/>
      <c r="Q37" s="43"/>
      <c r="R37" s="43"/>
      <c r="S37" s="43"/>
    </row>
    <row r="38" spans="2:19" s="43" customFormat="1">
      <c r="B38" s="66"/>
      <c r="C38"/>
      <c r="D38" s="22" t="s">
        <v>937</v>
      </c>
      <c r="E38" s="22">
        <v>42</v>
      </c>
      <c r="F38" s="22">
        <v>3</v>
      </c>
      <c r="G38" s="22">
        <v>6405.59</v>
      </c>
      <c r="H38" s="22">
        <v>6411.91</v>
      </c>
      <c r="I38" s="22">
        <v>1.221556068E-9</v>
      </c>
      <c r="J38" s="22" t="s">
        <v>41</v>
      </c>
      <c r="K38" s="85" t="s">
        <v>81</v>
      </c>
      <c r="L38" t="s">
        <v>786</v>
      </c>
      <c r="M38" s="43" t="s">
        <v>774</v>
      </c>
      <c r="N38" s="66"/>
    </row>
    <row r="39" spans="2:19" s="43" customFormat="1">
      <c r="B39" s="66"/>
      <c r="C39"/>
      <c r="D39" s="22" t="s">
        <v>936</v>
      </c>
      <c r="E39" s="22">
        <v>49.06</v>
      </c>
      <c r="F39" s="22">
        <v>4</v>
      </c>
      <c r="G39" s="22">
        <v>7347.3</v>
      </c>
      <c r="H39" s="22">
        <v>7354.4</v>
      </c>
      <c r="I39" s="22">
        <v>1.2090119909999999E-5</v>
      </c>
      <c r="J39" s="22" t="s">
        <v>25</v>
      </c>
      <c r="K39" s="85" t="s">
        <v>989</v>
      </c>
      <c r="L39" t="s">
        <v>997</v>
      </c>
      <c r="M39" s="43" t="s">
        <v>785</v>
      </c>
    </row>
    <row r="40" spans="2:19" s="43" customFormat="1">
      <c r="B40" s="66"/>
      <c r="C40"/>
      <c r="D40" s="22" t="s">
        <v>976</v>
      </c>
      <c r="E40" s="22">
        <v>50</v>
      </c>
      <c r="F40" s="22">
        <v>4</v>
      </c>
      <c r="G40" s="22">
        <v>7378.5</v>
      </c>
      <c r="H40" s="22">
        <v>7386.54</v>
      </c>
      <c r="I40" s="22" t="s">
        <v>569</v>
      </c>
      <c r="J40" s="22" t="s">
        <v>25</v>
      </c>
      <c r="K40" s="85" t="s">
        <v>575</v>
      </c>
      <c r="L40" t="s">
        <v>582</v>
      </c>
      <c r="M40" s="43" t="s">
        <v>570</v>
      </c>
    </row>
    <row r="41" spans="2:19">
      <c r="D41" s="22" t="s">
        <v>939</v>
      </c>
      <c r="E41" s="22" t="s">
        <v>977</v>
      </c>
      <c r="F41" s="22">
        <v>7</v>
      </c>
      <c r="G41" s="22">
        <v>13335.57</v>
      </c>
      <c r="H41" s="22">
        <v>13349.69</v>
      </c>
      <c r="I41" s="22">
        <v>6.6733799999999998E-10</v>
      </c>
      <c r="J41" s="22" t="s">
        <v>649</v>
      </c>
      <c r="K41" s="85" t="s">
        <v>571</v>
      </c>
      <c r="L41" t="s">
        <v>1000</v>
      </c>
      <c r="M41" s="43" t="s">
        <v>580</v>
      </c>
      <c r="N41" s="43"/>
      <c r="O41" s="43"/>
      <c r="P41" s="43"/>
      <c r="Q41" s="43"/>
      <c r="R41" s="43"/>
      <c r="S41" s="43"/>
    </row>
    <row r="42" spans="2:19">
      <c r="D42" s="22" t="s">
        <v>978</v>
      </c>
      <c r="E42" s="22">
        <v>70.66</v>
      </c>
      <c r="F42" s="22">
        <v>3</v>
      </c>
      <c r="G42" s="22">
        <v>13328.19</v>
      </c>
      <c r="H42" s="22">
        <v>13334.29</v>
      </c>
      <c r="I42" s="22" t="s">
        <v>966</v>
      </c>
      <c r="J42" s="22" t="s">
        <v>145</v>
      </c>
      <c r="K42" s="85" t="s">
        <v>146</v>
      </c>
      <c r="L42" t="s">
        <v>1001</v>
      </c>
      <c r="M42" s="43" t="s">
        <v>574</v>
      </c>
      <c r="N42" s="43"/>
      <c r="O42" s="43"/>
      <c r="P42" s="43"/>
      <c r="Q42" s="43"/>
      <c r="R42" s="43"/>
      <c r="S42" s="43"/>
    </row>
    <row r="43" spans="2:19">
      <c r="F43" s="66"/>
      <c r="G43" s="66"/>
      <c r="H43" s="66"/>
      <c r="I43" s="66"/>
      <c r="J43" s="66"/>
      <c r="K43" s="51"/>
      <c r="L43" s="43"/>
      <c r="M43" s="43"/>
      <c r="N43" s="43"/>
      <c r="O43" s="43"/>
      <c r="P43" s="43"/>
      <c r="Q43" s="43"/>
      <c r="R43" s="43"/>
      <c r="S43" s="43"/>
    </row>
    <row r="44" spans="2:19">
      <c r="F44" s="66"/>
      <c r="G44" s="66"/>
      <c r="H44" s="66"/>
      <c r="I44" s="66"/>
      <c r="J44" s="66"/>
      <c r="K44" s="51"/>
      <c r="L44" s="43"/>
      <c r="M44" s="43"/>
      <c r="N44" s="43"/>
      <c r="O44" s="43"/>
      <c r="P44" s="43"/>
      <c r="Q44" s="43"/>
      <c r="R44" s="43"/>
      <c r="S44" s="43"/>
    </row>
    <row r="45" spans="2:19" ht="19">
      <c r="D45" s="267" t="s">
        <v>945</v>
      </c>
      <c r="E45" s="267"/>
      <c r="F45" s="267"/>
      <c r="G45" s="249"/>
      <c r="H45" s="66"/>
      <c r="I45" s="66"/>
      <c r="J45" s="66"/>
      <c r="K45" s="51"/>
      <c r="L45" s="43"/>
      <c r="M45" s="43"/>
      <c r="N45" s="43"/>
      <c r="O45" s="43"/>
      <c r="P45" s="43"/>
      <c r="Q45" s="43"/>
      <c r="R45" s="43"/>
      <c r="S45" s="43"/>
    </row>
    <row r="46" spans="2:19">
      <c r="F46" s="66"/>
      <c r="G46" s="66"/>
      <c r="H46" s="66"/>
      <c r="I46" s="66"/>
      <c r="J46" s="66"/>
      <c r="K46" s="51"/>
      <c r="L46" s="43"/>
      <c r="M46" s="43"/>
      <c r="N46" s="43"/>
      <c r="O46" s="43"/>
      <c r="P46" s="43"/>
      <c r="Q46" s="43"/>
      <c r="R46" s="43"/>
      <c r="S46" s="43"/>
    </row>
    <row r="47" spans="2:19" ht="51">
      <c r="D47" s="239" t="s">
        <v>965</v>
      </c>
      <c r="E47" s="245" t="s">
        <v>968</v>
      </c>
      <c r="F47" s="91" t="s">
        <v>558</v>
      </c>
      <c r="G47" s="91" t="s">
        <v>559</v>
      </c>
      <c r="H47" s="91" t="s">
        <v>560</v>
      </c>
      <c r="I47" s="92" t="s">
        <v>17</v>
      </c>
      <c r="J47" s="92" t="s">
        <v>18</v>
      </c>
      <c r="K47" s="92" t="s">
        <v>561</v>
      </c>
      <c r="L47" s="92" t="s">
        <v>562</v>
      </c>
      <c r="M47" s="92" t="s">
        <v>563</v>
      </c>
      <c r="N47" s="43"/>
      <c r="O47" s="43"/>
      <c r="P47" s="43"/>
      <c r="Q47" s="43"/>
      <c r="R47" s="43"/>
      <c r="S47" s="43"/>
    </row>
    <row r="48" spans="2:19" ht="8" customHeight="1">
      <c r="F48" s="93"/>
      <c r="G48" s="93"/>
      <c r="H48" s="93"/>
      <c r="I48" s="94"/>
      <c r="J48" s="94"/>
      <c r="K48" s="253"/>
      <c r="L48" s="94"/>
      <c r="M48" s="94"/>
      <c r="N48" s="43"/>
      <c r="O48" s="43"/>
      <c r="P48" s="43"/>
      <c r="Q48" s="43"/>
      <c r="R48" s="43"/>
      <c r="S48" s="43"/>
    </row>
    <row r="49" spans="3:19">
      <c r="D49" s="22" t="s">
        <v>940</v>
      </c>
      <c r="E49" s="22">
        <v>8.65</v>
      </c>
      <c r="F49" s="22">
        <v>4</v>
      </c>
      <c r="G49" s="22">
        <v>6848.04</v>
      </c>
      <c r="H49" s="22">
        <v>6856.11</v>
      </c>
      <c r="I49" s="22">
        <v>5.2031999999999998E-34</v>
      </c>
      <c r="J49" s="22" t="s">
        <v>25</v>
      </c>
      <c r="K49" s="85" t="s">
        <v>564</v>
      </c>
      <c r="L49" t="s">
        <v>998</v>
      </c>
      <c r="M49" t="s">
        <v>581</v>
      </c>
      <c r="N49" s="43"/>
      <c r="O49" s="43"/>
      <c r="P49" s="43"/>
      <c r="Q49" s="43"/>
      <c r="R49" s="43"/>
      <c r="S49" s="43"/>
    </row>
    <row r="50" spans="3:19">
      <c r="D50" s="22" t="s">
        <v>941</v>
      </c>
      <c r="E50" s="22">
        <v>10.51</v>
      </c>
      <c r="F50" s="22">
        <v>3</v>
      </c>
      <c r="G50" s="22">
        <v>6661.99</v>
      </c>
      <c r="H50" s="22">
        <v>6668.04</v>
      </c>
      <c r="I50" s="22">
        <v>1.7860799999999999E-35</v>
      </c>
      <c r="J50" s="22" t="s">
        <v>41</v>
      </c>
      <c r="K50" s="85" t="s">
        <v>576</v>
      </c>
      <c r="L50" t="s">
        <v>40</v>
      </c>
      <c r="M50" t="s">
        <v>527</v>
      </c>
      <c r="N50" s="43"/>
      <c r="O50" s="43"/>
      <c r="P50" s="43"/>
      <c r="Q50" s="43"/>
      <c r="R50" s="43"/>
      <c r="S50" s="43"/>
    </row>
    <row r="51" spans="3:19">
      <c r="D51" s="22" t="s">
        <v>942</v>
      </c>
      <c r="E51" s="22">
        <v>15.14</v>
      </c>
      <c r="F51" s="22">
        <v>5</v>
      </c>
      <c r="G51" s="22">
        <v>7330.15</v>
      </c>
      <c r="H51" s="22">
        <v>7339.23</v>
      </c>
      <c r="I51" s="22">
        <v>8.8526000000000003E-29</v>
      </c>
      <c r="J51" s="22" t="s">
        <v>502</v>
      </c>
      <c r="K51" s="85" t="s">
        <v>503</v>
      </c>
      <c r="L51" t="s">
        <v>970</v>
      </c>
      <c r="M51" t="s">
        <v>971</v>
      </c>
      <c r="N51" s="43"/>
      <c r="O51" s="43"/>
      <c r="P51" s="43"/>
      <c r="Q51" s="43"/>
      <c r="R51" s="43"/>
      <c r="S51" s="43"/>
    </row>
    <row r="52" spans="3:19">
      <c r="D52" s="22" t="s">
        <v>942</v>
      </c>
      <c r="E52" s="22">
        <v>15.14</v>
      </c>
      <c r="F52" s="22">
        <v>3</v>
      </c>
      <c r="G52" s="22">
        <v>6342.93</v>
      </c>
      <c r="H52" s="22">
        <v>6348.98</v>
      </c>
      <c r="I52" s="22">
        <v>4.5161099999999999E-41</v>
      </c>
      <c r="J52" s="22" t="s">
        <v>41</v>
      </c>
      <c r="K52" s="85" t="s">
        <v>577</v>
      </c>
      <c r="L52" t="s">
        <v>48</v>
      </c>
      <c r="M52" t="s">
        <v>535</v>
      </c>
      <c r="N52" s="43"/>
      <c r="O52" s="43"/>
      <c r="P52" s="43"/>
      <c r="Q52" s="43"/>
      <c r="R52" s="43"/>
      <c r="S52" s="43"/>
    </row>
    <row r="53" spans="3:19">
      <c r="D53" s="22" t="s">
        <v>979</v>
      </c>
      <c r="E53" s="22">
        <v>18.21</v>
      </c>
      <c r="F53" s="22">
        <v>5</v>
      </c>
      <c r="G53" s="22">
        <v>7394.45</v>
      </c>
      <c r="H53" s="22">
        <v>7404.52</v>
      </c>
      <c r="I53" s="22">
        <v>2.3324000000000001E-35</v>
      </c>
      <c r="J53" s="22" t="s">
        <v>25</v>
      </c>
      <c r="K53" s="85" t="s">
        <v>566</v>
      </c>
      <c r="L53" t="s">
        <v>999</v>
      </c>
      <c r="M53" t="s">
        <v>567</v>
      </c>
      <c r="N53" s="43"/>
      <c r="O53" s="43"/>
      <c r="P53" s="43"/>
      <c r="Q53" s="43"/>
      <c r="R53" s="43"/>
      <c r="S53" s="43"/>
    </row>
    <row r="54" spans="3:19">
      <c r="D54" s="22" t="s">
        <v>980</v>
      </c>
      <c r="E54" s="22">
        <v>19.059999999999999</v>
      </c>
      <c r="F54" s="22">
        <v>3</v>
      </c>
      <c r="G54" s="22">
        <v>6389.86</v>
      </c>
      <c r="H54" s="22">
        <v>6395.88</v>
      </c>
      <c r="I54" s="22">
        <v>6.8750399999999998E-47</v>
      </c>
      <c r="J54" s="22" t="s">
        <v>41</v>
      </c>
      <c r="K54" s="85" t="s">
        <v>578</v>
      </c>
      <c r="L54" t="s">
        <v>80</v>
      </c>
      <c r="M54" t="s">
        <v>568</v>
      </c>
      <c r="N54" s="43"/>
      <c r="O54" s="43"/>
      <c r="P54" s="43"/>
      <c r="Q54" s="43"/>
      <c r="R54" s="43"/>
      <c r="S54" s="43"/>
    </row>
    <row r="55" spans="3:19">
      <c r="D55" s="22" t="s">
        <v>937</v>
      </c>
      <c r="E55" s="22">
        <v>23</v>
      </c>
      <c r="F55" s="22">
        <v>4</v>
      </c>
      <c r="G55" s="22">
        <v>7347.3</v>
      </c>
      <c r="H55" s="22">
        <v>7354.4</v>
      </c>
      <c r="I55" s="22">
        <v>1.2090119909999999E-5</v>
      </c>
      <c r="J55" s="22" t="s">
        <v>25</v>
      </c>
      <c r="K55" s="85" t="s">
        <v>989</v>
      </c>
      <c r="L55" t="s">
        <v>973</v>
      </c>
      <c r="M55" t="s">
        <v>785</v>
      </c>
      <c r="N55" s="43"/>
      <c r="O55" s="43"/>
      <c r="P55" s="43"/>
      <c r="Q55" s="43"/>
      <c r="R55" s="43"/>
      <c r="S55" s="43"/>
    </row>
    <row r="56" spans="3:19">
      <c r="C56" s="250"/>
      <c r="D56" s="22" t="s">
        <v>934</v>
      </c>
      <c r="E56" s="248">
        <v>28</v>
      </c>
      <c r="F56" s="22">
        <v>4</v>
      </c>
      <c r="G56" s="22">
        <v>7378.48</v>
      </c>
      <c r="H56" s="22">
        <v>7386.54</v>
      </c>
      <c r="I56" s="22">
        <v>1.12854016E-14</v>
      </c>
      <c r="J56" s="22" t="s">
        <v>492</v>
      </c>
      <c r="K56" s="85" t="s">
        <v>575</v>
      </c>
      <c r="L56" t="s">
        <v>579</v>
      </c>
      <c r="M56" t="s">
        <v>570</v>
      </c>
      <c r="N56" s="43"/>
      <c r="O56" s="43"/>
      <c r="P56" s="43"/>
      <c r="Q56" s="43"/>
      <c r="R56" s="43"/>
      <c r="S56" s="43"/>
    </row>
    <row r="57" spans="3:19">
      <c r="D57" s="22" t="s">
        <v>934</v>
      </c>
      <c r="E57" s="22">
        <v>28.67</v>
      </c>
      <c r="F57" s="22">
        <v>7</v>
      </c>
      <c r="G57" s="22">
        <v>13333.49</v>
      </c>
      <c r="H57" s="22">
        <v>13347.67</v>
      </c>
      <c r="I57" s="22">
        <v>1.02266E-31</v>
      </c>
      <c r="J57" s="22" t="s">
        <v>646</v>
      </c>
      <c r="K57" s="85" t="s">
        <v>135</v>
      </c>
      <c r="L57" t="s">
        <v>1000</v>
      </c>
      <c r="M57" t="s">
        <v>572</v>
      </c>
      <c r="N57" s="43"/>
      <c r="O57" s="43"/>
      <c r="P57" s="43"/>
      <c r="Q57" s="43"/>
      <c r="R57" s="43"/>
      <c r="S57" s="43"/>
    </row>
    <row r="58" spans="3:19">
      <c r="D58" s="22" t="s">
        <v>938</v>
      </c>
      <c r="E58" s="22">
        <v>29.76</v>
      </c>
      <c r="F58" s="22">
        <v>7</v>
      </c>
      <c r="G58" s="22">
        <v>13335.54</v>
      </c>
      <c r="H58" s="22">
        <v>13349.65</v>
      </c>
      <c r="I58" s="22">
        <v>5.0512000000000003E-30</v>
      </c>
      <c r="J58" s="22" t="s">
        <v>649</v>
      </c>
      <c r="K58" s="85" t="s">
        <v>571</v>
      </c>
      <c r="L58" t="s">
        <v>1000</v>
      </c>
      <c r="M58" t="s">
        <v>573</v>
      </c>
      <c r="N58" s="43"/>
      <c r="O58" s="43"/>
      <c r="P58" s="43"/>
      <c r="Q58" s="43"/>
      <c r="R58" s="43"/>
      <c r="S58" s="43"/>
    </row>
    <row r="59" spans="3:19">
      <c r="D59" s="22" t="s">
        <v>938</v>
      </c>
      <c r="E59" s="22">
        <v>30.8</v>
      </c>
      <c r="F59" s="22">
        <v>0</v>
      </c>
      <c r="G59" s="22">
        <v>7329.23</v>
      </c>
      <c r="H59" s="22">
        <v>7339.23</v>
      </c>
      <c r="I59" s="22">
        <v>8.8526000000000003E-29</v>
      </c>
      <c r="J59" s="22" t="s">
        <v>492</v>
      </c>
      <c r="K59" s="85" t="s">
        <v>503</v>
      </c>
      <c r="L59" t="s">
        <v>970</v>
      </c>
      <c r="M59" t="s">
        <v>971</v>
      </c>
      <c r="N59" s="43"/>
      <c r="O59" s="43"/>
      <c r="P59" s="43"/>
      <c r="Q59" s="43"/>
      <c r="R59" s="43"/>
      <c r="S59" s="43"/>
    </row>
    <row r="60" spans="3:19">
      <c r="D60" s="22" t="s">
        <v>981</v>
      </c>
      <c r="E60" s="22">
        <v>36.17</v>
      </c>
      <c r="F60" s="22">
        <v>3</v>
      </c>
      <c r="G60" s="22">
        <v>13328.19</v>
      </c>
      <c r="H60" s="22">
        <v>13334.28</v>
      </c>
      <c r="I60" s="22">
        <v>2.7114000000000001E-36</v>
      </c>
      <c r="J60" s="22" t="s">
        <v>145</v>
      </c>
      <c r="K60" s="85" t="s">
        <v>146</v>
      </c>
      <c r="L60" t="s">
        <v>1001</v>
      </c>
      <c r="M60" t="s">
        <v>574</v>
      </c>
    </row>
  </sheetData>
  <mergeCells count="3">
    <mergeCell ref="D7:F7"/>
    <mergeCell ref="D26:F26"/>
    <mergeCell ref="D45:F45"/>
  </mergeCells>
  <hyperlinks>
    <hyperlink ref="B16" location="'W. aegyptia (Sinai)'!A1" display="Table S1" xr:uid="{FC44E465-0E68-854B-A0DA-08D80FDA792C}"/>
    <hyperlink ref="B17" location="'W. aegyptia (Riyadh)'!A1" display="Table S2" xr:uid="{7544B995-1A62-5C4D-B41F-DE476AD0916B}"/>
    <hyperlink ref="B18" location="'W. morgani'!A1" display="Table S3" xr:uid="{4DFC6301-C367-C246-823D-4FCB01AB1936}"/>
    <hyperlink ref="B19" location="'Top-Down MS IDs'!A1" display="Table S4" xr:uid="{F4E52807-FEE5-6547-923D-828F6FB53DCA}"/>
    <hyperlink ref="B15" location="'Transcriptomic database'!A1" display="Table S5" xr:uid="{0B70025A-92FD-7F44-82F2-BC52ED7F915A}"/>
    <hyperlink ref="B20" location="'W. aegyptia (Sinai) ICP-MS'!A1" display="Table S6" xr:uid="{4AAF4702-E566-A247-B357-7E21E9F8D06E}"/>
    <hyperlink ref="B21" location="'W. aegyptia (Riyadh) ICP-MS'!A1" display="Table S7" xr:uid="{B35A6F25-4A5C-9D43-8C23-C201D3E18C9D}"/>
    <hyperlink ref="B22" location="'W. morgani ICP-MS'!A1" display="Table S8" xr:uid="{599C569E-720F-2045-A571-8913A9DFA58C}"/>
    <hyperlink ref="B14" location="INDEX!A1" display="INDEX" xr:uid="{7DF864E9-BE49-984D-927C-A5FD75A9B78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811CC-AB63-B743-90A3-6F8E1D6F56F7}">
  <dimension ref="B2:AN84"/>
  <sheetViews>
    <sheetView tabSelected="1" topLeftCell="P59" zoomScale="112" workbookViewId="0">
      <selection activeCell="AG85" sqref="AG85"/>
    </sheetView>
  </sheetViews>
  <sheetFormatPr baseColWidth="10" defaultRowHeight="16"/>
  <cols>
    <col min="1" max="1" width="10.83203125" style="130"/>
    <col min="2" max="2" width="10.83203125" style="133"/>
    <col min="3" max="3" width="10.83203125" style="130"/>
    <col min="4" max="4" width="13" style="131" customWidth="1"/>
    <col min="5" max="5" width="13.33203125" style="131" customWidth="1"/>
    <col min="6" max="6" width="10.83203125" style="130"/>
    <col min="7" max="7" width="15" style="130" customWidth="1"/>
    <col min="8" max="8" width="12.6640625" style="130" bestFit="1" customWidth="1"/>
    <col min="9" max="9" width="10.83203125" style="132"/>
    <col min="10" max="10" width="1.5" style="132" customWidth="1"/>
    <col min="11" max="11" width="13" style="130" customWidth="1"/>
    <col min="12" max="12" width="12.6640625" style="130" customWidth="1"/>
    <col min="13" max="13" width="16.33203125" style="130" customWidth="1"/>
    <col min="14" max="14" width="12.1640625" style="130" customWidth="1"/>
    <col min="15" max="15" width="1.5" style="136" customWidth="1"/>
    <col min="16" max="16" width="12.33203125" style="130" customWidth="1"/>
    <col min="17" max="17" width="25.6640625" style="130" customWidth="1"/>
    <col min="18" max="18" width="1.5" style="130" customWidth="1"/>
    <col min="19" max="19" width="8.6640625" style="131" customWidth="1"/>
    <col min="20" max="20" width="9.33203125" style="131" customWidth="1"/>
    <col min="21" max="21" width="7.83203125" style="131" customWidth="1"/>
    <col min="22" max="22" width="1.5" style="131" customWidth="1"/>
    <col min="23" max="23" width="26.33203125" style="130" customWidth="1"/>
    <col min="24" max="24" width="14.1640625" style="130" customWidth="1"/>
    <col min="25" max="25" width="19.6640625" style="130" customWidth="1"/>
    <col min="26" max="26" width="1.5" style="130" customWidth="1"/>
    <col min="27" max="27" width="10.83203125" style="130"/>
    <col min="28" max="28" width="21.83203125" style="130" customWidth="1"/>
    <col min="29" max="29" width="19" style="130" customWidth="1"/>
    <col min="30" max="30" width="12.83203125" style="130" customWidth="1"/>
    <col min="31" max="31" width="2.83203125" style="130" customWidth="1"/>
    <col min="32" max="32" width="13.33203125" style="130" customWidth="1"/>
    <col min="33" max="33" width="2.83203125" style="130" customWidth="1"/>
    <col min="34" max="34" width="14.5" style="130" customWidth="1"/>
    <col min="35" max="16384" width="10.83203125" style="130"/>
  </cols>
  <sheetData>
    <row r="2" spans="2:40" ht="19">
      <c r="D2" s="167" t="s">
        <v>790</v>
      </c>
    </row>
    <row r="4" spans="2:40">
      <c r="D4" s="272" t="s">
        <v>583</v>
      </c>
      <c r="E4" s="272"/>
      <c r="F4" s="272"/>
      <c r="G4" s="272"/>
      <c r="H4" s="272"/>
      <c r="I4" s="272"/>
      <c r="J4" s="76"/>
      <c r="K4" s="272" t="s">
        <v>584</v>
      </c>
      <c r="L4" s="272"/>
      <c r="M4" s="272"/>
      <c r="N4" s="272"/>
      <c r="O4" s="100"/>
      <c r="P4" s="193"/>
      <c r="Q4" s="193"/>
      <c r="R4" s="76"/>
      <c r="S4" s="272" t="s">
        <v>585</v>
      </c>
      <c r="T4" s="272"/>
      <c r="U4" s="272"/>
      <c r="V4" s="272"/>
      <c r="W4" s="272"/>
      <c r="X4" s="272"/>
      <c r="Y4" s="272"/>
      <c r="Z4" s="76"/>
    </row>
    <row r="5" spans="2:40">
      <c r="E5" s="130"/>
      <c r="H5" s="132"/>
      <c r="I5" s="131"/>
      <c r="J5" s="131"/>
      <c r="K5" s="274" t="s">
        <v>723</v>
      </c>
      <c r="L5" s="274"/>
      <c r="M5" s="274"/>
      <c r="N5" s="274"/>
      <c r="P5" s="273" t="s">
        <v>955</v>
      </c>
      <c r="Q5" s="273"/>
      <c r="R5" s="76"/>
      <c r="S5" s="272" t="s">
        <v>586</v>
      </c>
      <c r="T5" s="272"/>
      <c r="U5" s="272"/>
      <c r="V5" s="76"/>
      <c r="W5" s="272" t="s">
        <v>587</v>
      </c>
      <c r="X5" s="272"/>
      <c r="Y5" s="208"/>
      <c r="Z5" s="76"/>
      <c r="AA5" s="76"/>
      <c r="AB5" s="100"/>
      <c r="AC5" s="100"/>
    </row>
    <row r="6" spans="2:40" s="101" customFormat="1" ht="15" customHeight="1">
      <c r="B6" s="184"/>
      <c r="D6" s="102" t="s">
        <v>588</v>
      </c>
      <c r="E6" s="102" t="s">
        <v>14</v>
      </c>
      <c r="F6" s="272" t="s">
        <v>589</v>
      </c>
      <c r="G6" s="272"/>
      <c r="H6" s="272"/>
      <c r="I6" s="103" t="s">
        <v>590</v>
      </c>
      <c r="J6" s="104"/>
      <c r="K6" s="102" t="s">
        <v>591</v>
      </c>
      <c r="L6" s="102" t="s">
        <v>592</v>
      </c>
      <c r="M6" s="102" t="s">
        <v>593</v>
      </c>
      <c r="N6" s="105" t="s">
        <v>660</v>
      </c>
      <c r="O6" s="184"/>
      <c r="P6" s="106" t="s">
        <v>594</v>
      </c>
      <c r="Q6" s="179" t="s">
        <v>739</v>
      </c>
      <c r="R6" s="107"/>
      <c r="S6" s="102" t="s">
        <v>595</v>
      </c>
      <c r="T6" s="102" t="s">
        <v>596</v>
      </c>
      <c r="U6" s="102" t="s">
        <v>661</v>
      </c>
      <c r="V6" s="76"/>
      <c r="W6" s="180" t="s">
        <v>738</v>
      </c>
      <c r="X6" s="108" t="s">
        <v>597</v>
      </c>
      <c r="Y6" s="211" t="s">
        <v>740</v>
      </c>
      <c r="Z6" s="109"/>
      <c r="AA6" s="276" t="s">
        <v>952</v>
      </c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</row>
    <row r="7" spans="2:40" s="101" customFormat="1" ht="6" customHeight="1">
      <c r="B7" s="184"/>
      <c r="D7" s="134"/>
      <c r="E7" s="135"/>
      <c r="F7" s="134"/>
      <c r="G7" s="134"/>
      <c r="H7" s="134"/>
      <c r="I7" s="135"/>
      <c r="J7" s="135"/>
      <c r="K7" s="76"/>
      <c r="L7" s="76"/>
      <c r="M7" s="76"/>
      <c r="N7" s="76"/>
      <c r="O7" s="178"/>
      <c r="P7" s="76"/>
      <c r="Q7" s="76"/>
      <c r="R7" s="76"/>
      <c r="S7" s="76"/>
      <c r="T7" s="76"/>
      <c r="U7" s="76"/>
      <c r="V7" s="76"/>
      <c r="W7" s="136"/>
      <c r="X7" s="136"/>
      <c r="Y7" s="136"/>
      <c r="Z7" s="136"/>
    </row>
    <row r="8" spans="2:40">
      <c r="D8" s="131">
        <v>1</v>
      </c>
      <c r="E8" s="131" t="s">
        <v>492</v>
      </c>
      <c r="F8" s="46" t="s">
        <v>26</v>
      </c>
      <c r="G8" s="46" t="s">
        <v>416</v>
      </c>
      <c r="H8" s="116" t="s">
        <v>600</v>
      </c>
      <c r="I8" s="25">
        <v>6848.0318100000004</v>
      </c>
      <c r="J8" s="25"/>
      <c r="K8" s="137">
        <v>1610445</v>
      </c>
      <c r="L8" s="138">
        <f t="shared" ref="L8:L52" si="0">(K8/$K$64)*100</f>
        <v>25.051648915244446</v>
      </c>
      <c r="M8" s="138">
        <f>(K8/SUM(K$8:K$12)*100)</f>
        <v>85.439733883674904</v>
      </c>
      <c r="N8" s="270">
        <v>1.9779195744564448</v>
      </c>
      <c r="O8" s="176"/>
      <c r="P8" s="139">
        <f>(M8*1.98)/100</f>
        <v>1.691706730896763</v>
      </c>
      <c r="Q8" s="139">
        <f>(P8/32.065)*1000</f>
        <v>52.758669293521379</v>
      </c>
      <c r="R8" s="139"/>
      <c r="S8" s="131">
        <v>8</v>
      </c>
      <c r="T8" s="131">
        <v>0</v>
      </c>
      <c r="U8" s="131">
        <f>SUM(S8:T8)</f>
        <v>8</v>
      </c>
      <c r="W8" s="140">
        <f t="shared" ref="W8:W63" si="1">(Q8/U8)</f>
        <v>6.5948336616901724</v>
      </c>
      <c r="X8" s="205">
        <f t="shared" ref="X8:X39" si="2">(W8*I8)/1000</f>
        <v>45.161630696913079</v>
      </c>
      <c r="Y8" s="205">
        <f>(X8*100)/$X$64</f>
        <v>6.790017303534424</v>
      </c>
      <c r="Z8" s="25"/>
      <c r="AA8" s="130" t="s">
        <v>27</v>
      </c>
    </row>
    <row r="9" spans="2:40">
      <c r="B9" s="66"/>
      <c r="D9" s="131">
        <v>2</v>
      </c>
      <c r="E9" s="131" t="s">
        <v>492</v>
      </c>
      <c r="F9" s="131" t="s">
        <v>601</v>
      </c>
      <c r="G9" s="131" t="s">
        <v>416</v>
      </c>
      <c r="H9" s="116" t="s">
        <v>600</v>
      </c>
      <c r="I9" s="25">
        <v>6900.9657999999999</v>
      </c>
      <c r="J9" s="25"/>
      <c r="K9" s="137">
        <v>83667</v>
      </c>
      <c r="L9" s="138">
        <f t="shared" si="0"/>
        <v>1.3015013302483207</v>
      </c>
      <c r="M9" s="138">
        <f t="shared" ref="M9:M12" si="3">(K9/SUM(K$8:K$12)*100)</f>
        <v>4.4388266689302824</v>
      </c>
      <c r="N9" s="270"/>
      <c r="O9" s="176"/>
      <c r="P9" s="139">
        <f>(M9*1.98)/100</f>
        <v>8.7888768044819585E-2</v>
      </c>
      <c r="Q9" s="139">
        <f t="shared" ref="Q9:Q63" si="4">(P9/32.065)*1000</f>
        <v>2.7409564336447714</v>
      </c>
      <c r="R9" s="139"/>
      <c r="S9" s="131">
        <v>8</v>
      </c>
      <c r="T9" s="131">
        <v>0</v>
      </c>
      <c r="U9" s="131">
        <f t="shared" ref="U9:U63" si="5">SUM(S9:T9)</f>
        <v>8</v>
      </c>
      <c r="W9" s="140">
        <f t="shared" si="1"/>
        <v>0.34261955420559642</v>
      </c>
      <c r="X9" s="205">
        <f t="shared" si="2"/>
        <v>2.364405825984067</v>
      </c>
      <c r="Y9" s="205">
        <f t="shared" ref="Y9:Y63" si="6">(X9*100)/$X$64</f>
        <v>0.3554866426049309</v>
      </c>
      <c r="Z9" s="25"/>
      <c r="AA9" s="130" t="s">
        <v>662</v>
      </c>
    </row>
    <row r="10" spans="2:40" ht="19">
      <c r="B10" s="224"/>
      <c r="D10" s="131">
        <v>3</v>
      </c>
      <c r="E10" s="131" t="s">
        <v>718</v>
      </c>
      <c r="F10" s="46" t="s">
        <v>26</v>
      </c>
      <c r="G10" s="46" t="s">
        <v>416</v>
      </c>
      <c r="H10" s="116" t="s">
        <v>600</v>
      </c>
      <c r="I10" s="25">
        <v>6830.0266000000001</v>
      </c>
      <c r="J10" s="25"/>
      <c r="K10" s="137">
        <v>57139</v>
      </c>
      <c r="L10" s="138">
        <f t="shared" si="0"/>
        <v>0.88883890314053093</v>
      </c>
      <c r="M10" s="138">
        <f t="shared" si="3"/>
        <v>3.0314235844001507</v>
      </c>
      <c r="N10" s="270"/>
      <c r="O10" s="176"/>
      <c r="P10" s="139">
        <f>(M10*1.98)/100</f>
        <v>6.0022186971122986E-2</v>
      </c>
      <c r="Q10" s="139">
        <f t="shared" si="4"/>
        <v>1.8718910641235924</v>
      </c>
      <c r="R10" s="139"/>
      <c r="S10" s="131">
        <v>6</v>
      </c>
      <c r="T10" s="131">
        <v>1</v>
      </c>
      <c r="U10" s="131">
        <f>SUM(S10:T10)</f>
        <v>7</v>
      </c>
      <c r="W10" s="140">
        <f t="shared" si="1"/>
        <v>0.26741300916051319</v>
      </c>
      <c r="X10" s="205">
        <f t="shared" si="2"/>
        <v>1.8264379657523488</v>
      </c>
      <c r="Y10" s="205">
        <f t="shared" si="6"/>
        <v>0.27460357830122245</v>
      </c>
      <c r="Z10" s="25"/>
      <c r="AA10" s="115" t="s">
        <v>719</v>
      </c>
    </row>
    <row r="11" spans="2:40" ht="19">
      <c r="B11" s="225" t="s">
        <v>724</v>
      </c>
      <c r="D11" s="131">
        <v>4</v>
      </c>
      <c r="E11" s="131" t="s">
        <v>492</v>
      </c>
      <c r="F11" s="131" t="s">
        <v>601</v>
      </c>
      <c r="G11" s="131" t="s">
        <v>416</v>
      </c>
      <c r="H11" s="116" t="s">
        <v>600</v>
      </c>
      <c r="I11" s="25">
        <v>6864.0313999999998</v>
      </c>
      <c r="J11" s="25"/>
      <c r="K11" s="137">
        <v>103060</v>
      </c>
      <c r="L11" s="138">
        <f t="shared" si="0"/>
        <v>1.6031736179783183</v>
      </c>
      <c r="M11" s="138">
        <f t="shared" si="3"/>
        <v>5.4676930749274497</v>
      </c>
      <c r="N11" s="270"/>
      <c r="O11" s="176"/>
      <c r="P11" s="139">
        <f>(M11*1.98)/100</f>
        <v>0.10826032288356351</v>
      </c>
      <c r="Q11" s="139">
        <f t="shared" si="4"/>
        <v>3.3762770273994547</v>
      </c>
      <c r="R11" s="139"/>
      <c r="S11" s="131">
        <v>8</v>
      </c>
      <c r="T11" s="131">
        <v>0</v>
      </c>
      <c r="U11" s="131">
        <f t="shared" si="5"/>
        <v>8</v>
      </c>
      <c r="W11" s="140">
        <f t="shared" si="1"/>
        <v>0.42203462842493183</v>
      </c>
      <c r="X11" s="205">
        <f t="shared" si="2"/>
        <v>2.8968589413960646</v>
      </c>
      <c r="Y11" s="205">
        <f t="shared" si="6"/>
        <v>0.43554056916111689</v>
      </c>
      <c r="Z11" s="25"/>
      <c r="AA11" s="130" t="s">
        <v>602</v>
      </c>
    </row>
    <row r="12" spans="2:40" ht="19">
      <c r="B12" s="225" t="s">
        <v>725</v>
      </c>
      <c r="D12" s="131">
        <v>5</v>
      </c>
      <c r="E12" s="131" t="s">
        <v>41</v>
      </c>
      <c r="F12" s="131" t="s">
        <v>598</v>
      </c>
      <c r="G12" s="131" t="s">
        <v>599</v>
      </c>
      <c r="H12" s="116" t="s">
        <v>600</v>
      </c>
      <c r="I12" s="25">
        <v>7010.0214999999998</v>
      </c>
      <c r="J12" s="25"/>
      <c r="K12" s="137">
        <v>30579</v>
      </c>
      <c r="L12" s="138">
        <f t="shared" si="0"/>
        <v>0.47567869264660384</v>
      </c>
      <c r="M12" s="138">
        <f t="shared" si="3"/>
        <v>1.622322788067208</v>
      </c>
      <c r="N12" s="270"/>
      <c r="O12" s="176"/>
      <c r="P12" s="139">
        <f>(M12*1.98)/100</f>
        <v>3.2121991203730722E-2</v>
      </c>
      <c r="Q12" s="139">
        <f t="shared" si="4"/>
        <v>1.0017773648442452</v>
      </c>
      <c r="R12" s="139"/>
      <c r="S12" s="131">
        <v>6</v>
      </c>
      <c r="T12" s="131">
        <v>1</v>
      </c>
      <c r="U12" s="131">
        <f t="shared" si="5"/>
        <v>7</v>
      </c>
      <c r="W12" s="140">
        <f t="shared" si="1"/>
        <v>0.14311105212060646</v>
      </c>
      <c r="X12" s="205">
        <f t="shared" si="2"/>
        <v>1.0032115522530718</v>
      </c>
      <c r="Y12" s="205">
        <f t="shared" si="6"/>
        <v>0.15083210446095768</v>
      </c>
      <c r="Z12" s="25"/>
      <c r="AA12" s="130" t="s">
        <v>605</v>
      </c>
    </row>
    <row r="13" spans="2:40" ht="19">
      <c r="B13" s="225" t="s">
        <v>726</v>
      </c>
      <c r="D13" s="131">
        <v>6</v>
      </c>
      <c r="E13" s="131" t="s">
        <v>492</v>
      </c>
      <c r="F13" s="131" t="s">
        <v>601</v>
      </c>
      <c r="G13" s="131" t="s">
        <v>416</v>
      </c>
      <c r="H13" s="116" t="s">
        <v>600</v>
      </c>
      <c r="I13" s="25">
        <v>6886.0032000000001</v>
      </c>
      <c r="J13" s="25"/>
      <c r="K13" s="137">
        <v>195871</v>
      </c>
      <c r="L13" s="138">
        <f t="shared" si="0"/>
        <v>3.0469165508153613</v>
      </c>
      <c r="M13" s="138">
        <f>(K13/SUM(K$13:K$14)*100)</f>
        <v>92.284461028895578</v>
      </c>
      <c r="N13" s="270">
        <v>0.290146976229403</v>
      </c>
      <c r="O13" s="176"/>
      <c r="P13" s="139">
        <f>(M13*0.29)/100</f>
        <v>0.26762493698379713</v>
      </c>
      <c r="Q13" s="139">
        <f t="shared" si="4"/>
        <v>8.3463258064493093</v>
      </c>
      <c r="R13" s="139"/>
      <c r="S13" s="131">
        <v>8</v>
      </c>
      <c r="T13" s="131">
        <v>0</v>
      </c>
      <c r="U13" s="131">
        <f t="shared" si="5"/>
        <v>8</v>
      </c>
      <c r="W13" s="140">
        <f t="shared" si="1"/>
        <v>1.0432907258061637</v>
      </c>
      <c r="X13" s="205">
        <f t="shared" si="2"/>
        <v>7.184103276431566</v>
      </c>
      <c r="Y13" s="205">
        <f t="shared" si="6"/>
        <v>1.080124539450763</v>
      </c>
      <c r="Z13" s="25"/>
      <c r="AA13" s="130" t="s">
        <v>663</v>
      </c>
    </row>
    <row r="14" spans="2:40" ht="19">
      <c r="B14" s="225" t="s">
        <v>727</v>
      </c>
      <c r="D14" s="131">
        <v>7</v>
      </c>
      <c r="E14" s="131" t="s">
        <v>492</v>
      </c>
      <c r="F14" s="131" t="s">
        <v>601</v>
      </c>
      <c r="G14" s="131" t="s">
        <v>416</v>
      </c>
      <c r="H14" s="116" t="s">
        <v>600</v>
      </c>
      <c r="I14" s="25">
        <v>6939.0549000000001</v>
      </c>
      <c r="J14" s="25"/>
      <c r="K14" s="137">
        <v>16376</v>
      </c>
      <c r="L14" s="138">
        <f t="shared" si="0"/>
        <v>0.25474064785574363</v>
      </c>
      <c r="M14" s="138">
        <f>(K14/SUM(K$13:K$14)*100)</f>
        <v>7.7155389711044213</v>
      </c>
      <c r="N14" s="270"/>
      <c r="O14" s="176"/>
      <c r="P14" s="139">
        <f>(M14*0.29)/100</f>
        <v>2.2375063016202817E-2</v>
      </c>
      <c r="Q14" s="139">
        <f t="shared" si="4"/>
        <v>0.69780330629043563</v>
      </c>
      <c r="R14" s="139"/>
      <c r="S14" s="131">
        <v>8</v>
      </c>
      <c r="T14" s="131">
        <v>0</v>
      </c>
      <c r="U14" s="131">
        <f t="shared" si="5"/>
        <v>8</v>
      </c>
      <c r="W14" s="140">
        <f t="shared" si="1"/>
        <v>8.7225413286304454E-2</v>
      </c>
      <c r="X14" s="205">
        <f t="shared" si="2"/>
        <v>0.60526193146885598</v>
      </c>
      <c r="Y14" s="205">
        <f t="shared" si="6"/>
        <v>9.100067744287875E-2</v>
      </c>
      <c r="Z14" s="25"/>
      <c r="AA14" s="130" t="s">
        <v>664</v>
      </c>
    </row>
    <row r="15" spans="2:40" ht="19">
      <c r="B15" s="225" t="s">
        <v>728</v>
      </c>
      <c r="D15" s="131">
        <v>8</v>
      </c>
      <c r="E15" s="133" t="s">
        <v>41</v>
      </c>
      <c r="F15" s="131" t="s">
        <v>598</v>
      </c>
      <c r="G15" s="131" t="s">
        <v>599</v>
      </c>
      <c r="H15" s="116" t="s">
        <v>600</v>
      </c>
      <c r="I15" s="25">
        <v>7070.9290000000001</v>
      </c>
      <c r="J15" s="25"/>
      <c r="K15" s="141">
        <v>6637</v>
      </c>
      <c r="L15" s="138">
        <f t="shared" si="0"/>
        <v>0.1032433854310314</v>
      </c>
      <c r="M15" s="138">
        <f>(K15/SUM(K$15:K$18)*100)</f>
        <v>2.5005651420390325</v>
      </c>
      <c r="N15" s="270">
        <v>0.46337114972930094</v>
      </c>
      <c r="O15" s="176"/>
      <c r="P15" s="139">
        <f>(M8*0.46)/100</f>
        <v>0.39302277586490453</v>
      </c>
      <c r="Q15" s="139">
        <f t="shared" si="4"/>
        <v>12.25706458334335</v>
      </c>
      <c r="R15" s="139"/>
      <c r="S15" s="131">
        <v>6</v>
      </c>
      <c r="T15" s="131">
        <v>1</v>
      </c>
      <c r="U15" s="131">
        <f t="shared" si="5"/>
        <v>7</v>
      </c>
      <c r="W15" s="140">
        <f t="shared" si="1"/>
        <v>1.7510092261919072</v>
      </c>
      <c r="X15" s="205">
        <f t="shared" si="2"/>
        <v>12.381261916747917</v>
      </c>
      <c r="Y15" s="205">
        <f t="shared" si="6"/>
        <v>1.8615134430931097</v>
      </c>
      <c r="Z15" s="25"/>
      <c r="AA15" s="130" t="s">
        <v>665</v>
      </c>
    </row>
    <row r="16" spans="2:40" ht="19">
      <c r="B16" s="225" t="s">
        <v>729</v>
      </c>
      <c r="D16" s="131">
        <v>9</v>
      </c>
      <c r="E16" s="131" t="s">
        <v>41</v>
      </c>
      <c r="F16" s="131" t="s">
        <v>598</v>
      </c>
      <c r="G16" s="131" t="s">
        <v>599</v>
      </c>
      <c r="H16" s="116" t="s">
        <v>600</v>
      </c>
      <c r="I16" s="25">
        <v>6661.9745000000003</v>
      </c>
      <c r="J16" s="25"/>
      <c r="K16" s="142">
        <v>234269</v>
      </c>
      <c r="L16" s="138">
        <f t="shared" si="0"/>
        <v>3.6442255027184416</v>
      </c>
      <c r="M16" s="138">
        <f t="shared" ref="M16:M18" si="7">(K16/SUM(K$15:K$18)*100)</f>
        <v>88.263506894732885</v>
      </c>
      <c r="N16" s="270"/>
      <c r="O16" s="176"/>
      <c r="P16" s="139">
        <f>(M9*0.46)/100</f>
        <v>2.04186026770793E-2</v>
      </c>
      <c r="Q16" s="139">
        <f t="shared" si="4"/>
        <v>0.63678785832151263</v>
      </c>
      <c r="R16" s="139"/>
      <c r="S16" s="131">
        <v>6</v>
      </c>
      <c r="T16" s="131">
        <v>1</v>
      </c>
      <c r="U16" s="131">
        <f>SUM(S16:T16)</f>
        <v>7</v>
      </c>
      <c r="W16" s="140">
        <f t="shared" si="1"/>
        <v>9.0969694045930374E-2</v>
      </c>
      <c r="X16" s="205">
        <f t="shared" si="2"/>
        <v>0.60603778200679004</v>
      </c>
      <c r="Y16" s="205">
        <f t="shared" si="6"/>
        <v>9.1117325989360246E-2</v>
      </c>
      <c r="Z16" s="25"/>
      <c r="AA16" s="130" t="s">
        <v>43</v>
      </c>
    </row>
    <row r="17" spans="2:27" ht="19">
      <c r="B17" s="225" t="s">
        <v>730</v>
      </c>
      <c r="D17" s="131">
        <v>10</v>
      </c>
      <c r="E17" s="133" t="s">
        <v>41</v>
      </c>
      <c r="F17" s="131" t="s">
        <v>598</v>
      </c>
      <c r="G17" s="131" t="s">
        <v>599</v>
      </c>
      <c r="H17" s="116" t="s">
        <v>600</v>
      </c>
      <c r="I17" s="25">
        <v>7198.1529</v>
      </c>
      <c r="J17" s="25"/>
      <c r="K17" s="142">
        <v>20401</v>
      </c>
      <c r="L17" s="138">
        <f t="shared" si="0"/>
        <v>0.31735246439332104</v>
      </c>
      <c r="M17" s="138">
        <f t="shared" si="7"/>
        <v>7.6863084922010394</v>
      </c>
      <c r="N17" s="270"/>
      <c r="O17" s="176"/>
      <c r="P17" s="139">
        <f>(M10*0.46)/100</f>
        <v>1.3944548488240694E-2</v>
      </c>
      <c r="Q17" s="139">
        <f t="shared" si="4"/>
        <v>0.43488378257416793</v>
      </c>
      <c r="R17" s="139"/>
      <c r="S17" s="131">
        <v>6</v>
      </c>
      <c r="T17" s="131">
        <v>1</v>
      </c>
      <c r="U17" s="131">
        <f t="shared" si="5"/>
        <v>7</v>
      </c>
      <c r="W17" s="140">
        <f t="shared" si="1"/>
        <v>6.2126254653452562E-2</v>
      </c>
      <c r="X17" s="205">
        <f t="shared" si="2"/>
        <v>0.44719428009988804</v>
      </c>
      <c r="Y17" s="205">
        <f t="shared" si="6"/>
        <v>6.7235324612124989E-2</v>
      </c>
      <c r="Z17" s="25"/>
      <c r="AA17" s="130" t="s">
        <v>666</v>
      </c>
    </row>
    <row r="18" spans="2:27" ht="19">
      <c r="B18" s="225" t="s">
        <v>731</v>
      </c>
      <c r="D18" s="131">
        <v>11</v>
      </c>
      <c r="E18" s="131" t="s">
        <v>492</v>
      </c>
      <c r="F18" s="131" t="s">
        <v>601</v>
      </c>
      <c r="G18" s="131" t="s">
        <v>416</v>
      </c>
      <c r="H18" s="116" t="s">
        <v>600</v>
      </c>
      <c r="I18" s="25">
        <v>6863.8765000000003</v>
      </c>
      <c r="J18" s="25"/>
      <c r="K18" s="142">
        <v>4113</v>
      </c>
      <c r="L18" s="138">
        <f t="shared" si="0"/>
        <v>6.39807208494549E-2</v>
      </c>
      <c r="M18" s="138">
        <f t="shared" si="7"/>
        <v>1.5496194710270514</v>
      </c>
      <c r="N18" s="270"/>
      <c r="O18" s="176"/>
      <c r="P18" s="139">
        <f>(M11*0.46)/100</f>
        <v>2.5151388144666269E-2</v>
      </c>
      <c r="Q18" s="139">
        <f t="shared" si="4"/>
        <v>0.7843875922241158</v>
      </c>
      <c r="R18" s="139"/>
      <c r="S18" s="131">
        <v>8</v>
      </c>
      <c r="T18" s="131">
        <v>0</v>
      </c>
      <c r="U18" s="131">
        <f t="shared" si="5"/>
        <v>8</v>
      </c>
      <c r="W18" s="140">
        <f t="shared" si="1"/>
        <v>9.8048449028014475E-2</v>
      </c>
      <c r="X18" s="205">
        <f t="shared" si="2"/>
        <v>0.67299244514483647</v>
      </c>
      <c r="Y18" s="205">
        <f t="shared" si="6"/>
        <v>0.10118390937539215</v>
      </c>
      <c r="Z18" s="25"/>
      <c r="AA18" s="130" t="s">
        <v>602</v>
      </c>
    </row>
    <row r="19" spans="2:27" ht="19">
      <c r="B19" s="225" t="s">
        <v>732</v>
      </c>
      <c r="D19" s="131">
        <v>12</v>
      </c>
      <c r="E19" s="131" t="s">
        <v>492</v>
      </c>
      <c r="F19" s="131" t="s">
        <v>641</v>
      </c>
      <c r="G19" s="143" t="s">
        <v>642</v>
      </c>
      <c r="H19" s="144" t="s">
        <v>608</v>
      </c>
      <c r="I19" s="168">
        <v>6775.0445</v>
      </c>
      <c r="J19" s="25"/>
      <c r="K19" s="142">
        <v>90687</v>
      </c>
      <c r="L19" s="138">
        <f t="shared" si="0"/>
        <v>1.4107025605821826</v>
      </c>
      <c r="M19" s="138">
        <f>(K19/SUM(K$19:K$20)*100)</f>
        <v>70.967868154570922</v>
      </c>
      <c r="N19" s="270">
        <v>1.3466149515098333</v>
      </c>
      <c r="O19" s="176"/>
      <c r="P19" s="139">
        <f>(M19*1.35)/100</f>
        <v>0.95806622008670761</v>
      </c>
      <c r="Q19" s="139">
        <f t="shared" si="4"/>
        <v>29.878877906961101</v>
      </c>
      <c r="R19" s="139"/>
      <c r="S19" s="131">
        <v>8</v>
      </c>
      <c r="T19" s="131">
        <v>0</v>
      </c>
      <c r="U19" s="131">
        <f t="shared" ref="U19" si="8">SUM(S19:T19)</f>
        <v>8</v>
      </c>
      <c r="W19" s="140">
        <f t="shared" si="1"/>
        <v>3.7348597383701376</v>
      </c>
      <c r="X19" s="205">
        <f t="shared" si="2"/>
        <v>25.303840928716038</v>
      </c>
      <c r="Y19" s="205">
        <f t="shared" si="6"/>
        <v>3.804413505458482</v>
      </c>
      <c r="Z19" s="25"/>
      <c r="AA19" s="130" t="s">
        <v>716</v>
      </c>
    </row>
    <row r="20" spans="2:27" ht="19">
      <c r="B20" s="224"/>
      <c r="D20" s="131">
        <v>13</v>
      </c>
      <c r="E20" s="133" t="s">
        <v>111</v>
      </c>
      <c r="F20" s="131" t="s">
        <v>612</v>
      </c>
      <c r="G20" s="131" t="s">
        <v>613</v>
      </c>
      <c r="H20" s="116" t="s">
        <v>600</v>
      </c>
      <c r="I20" s="25">
        <v>13532.9977</v>
      </c>
      <c r="J20" s="25"/>
      <c r="K20" s="142">
        <v>37099</v>
      </c>
      <c r="L20" s="138">
        <f t="shared" si="0"/>
        <v>0.57710205757207089</v>
      </c>
      <c r="M20" s="138">
        <f>(K20/SUM(K$19:K$20)*100)</f>
        <v>29.032131845429078</v>
      </c>
      <c r="N20" s="270"/>
      <c r="O20" s="176"/>
      <c r="P20" s="139">
        <f>(M20*1.35)/100</f>
        <v>0.39193377991329259</v>
      </c>
      <c r="Q20" s="139">
        <f t="shared" si="4"/>
        <v>12.223102445448077</v>
      </c>
      <c r="R20" s="139"/>
      <c r="S20" s="131">
        <v>14</v>
      </c>
      <c r="T20" s="131">
        <v>1</v>
      </c>
      <c r="U20" s="131">
        <f t="shared" si="5"/>
        <v>15</v>
      </c>
      <c r="W20" s="140">
        <f t="shared" si="1"/>
        <v>0.81487349636320516</v>
      </c>
      <c r="X20" s="205">
        <f t="shared" si="2"/>
        <v>11.027681152074214</v>
      </c>
      <c r="Y20" s="205">
        <f t="shared" si="6"/>
        <v>1.6580035903256805</v>
      </c>
      <c r="Z20" s="25"/>
      <c r="AA20" s="130" t="s">
        <v>667</v>
      </c>
    </row>
    <row r="21" spans="2:27">
      <c r="D21" s="131">
        <v>14</v>
      </c>
      <c r="E21" s="131" t="s">
        <v>619</v>
      </c>
      <c r="I21" s="25">
        <v>7640.3391000000001</v>
      </c>
      <c r="J21" s="25"/>
      <c r="K21" s="142">
        <v>26805</v>
      </c>
      <c r="L21" s="138">
        <f t="shared" si="0"/>
        <v>0.41697136454404055</v>
      </c>
      <c r="M21" s="138">
        <f>(K21/SUM(K$21:K$22)*100)</f>
        <v>32.15223884177572</v>
      </c>
      <c r="N21" s="270">
        <v>0.43336405730866401</v>
      </c>
      <c r="O21" s="176"/>
      <c r="P21" s="139">
        <f>(M21*0.43)/100</f>
        <v>0.13825462701963559</v>
      </c>
      <c r="Q21" s="139">
        <f t="shared" si="4"/>
        <v>4.3116989558595229</v>
      </c>
      <c r="R21" s="139"/>
      <c r="S21" s="131">
        <v>8</v>
      </c>
      <c r="T21" s="131">
        <v>0</v>
      </c>
      <c r="U21" s="131">
        <f t="shared" si="5"/>
        <v>8</v>
      </c>
      <c r="W21" s="140">
        <f t="shared" si="1"/>
        <v>0.53896236948244036</v>
      </c>
      <c r="X21" s="205">
        <f t="shared" si="2"/>
        <v>4.1178552649853364</v>
      </c>
      <c r="Y21" s="205">
        <f t="shared" si="6"/>
        <v>0.61911645065136955</v>
      </c>
      <c r="Z21" s="25"/>
    </row>
    <row r="22" spans="2:27">
      <c r="D22" s="131">
        <v>15</v>
      </c>
      <c r="E22" s="131" t="s">
        <v>41</v>
      </c>
      <c r="F22" s="131" t="s">
        <v>42</v>
      </c>
      <c r="G22" s="131" t="s">
        <v>599</v>
      </c>
      <c r="H22" s="116" t="s">
        <v>600</v>
      </c>
      <c r="I22" s="25">
        <v>7181.1536999999998</v>
      </c>
      <c r="J22" s="25"/>
      <c r="K22" s="142">
        <v>56564</v>
      </c>
      <c r="L22" s="138">
        <f t="shared" si="0"/>
        <v>0.879894357920877</v>
      </c>
      <c r="M22" s="138">
        <f>(K22/SUM(K$21:K$22)*100)</f>
        <v>67.847761158224287</v>
      </c>
      <c r="N22" s="270"/>
      <c r="O22" s="176"/>
      <c r="P22" s="139">
        <f>(M22*0.43)/100</f>
        <v>0.29174537298036446</v>
      </c>
      <c r="Q22" s="139">
        <f t="shared" si="4"/>
        <v>9.0985614526856224</v>
      </c>
      <c r="R22" s="139"/>
      <c r="S22" s="131">
        <v>6</v>
      </c>
      <c r="T22" s="131">
        <v>1</v>
      </c>
      <c r="U22" s="131">
        <f t="shared" si="5"/>
        <v>7</v>
      </c>
      <c r="W22" s="140">
        <f t="shared" si="1"/>
        <v>1.2997944932408032</v>
      </c>
      <c r="X22" s="205">
        <f t="shared" si="2"/>
        <v>9.334024034375819</v>
      </c>
      <c r="Y22" s="205">
        <f t="shared" si="6"/>
        <v>1.4033635129421949</v>
      </c>
      <c r="Z22" s="25"/>
      <c r="AA22" s="130" t="s">
        <v>668</v>
      </c>
    </row>
    <row r="23" spans="2:27" ht="16.5" customHeight="1">
      <c r="D23" s="131">
        <v>16</v>
      </c>
      <c r="E23" s="131" t="s">
        <v>492</v>
      </c>
      <c r="F23" s="131" t="s">
        <v>630</v>
      </c>
      <c r="G23" s="131" t="s">
        <v>631</v>
      </c>
      <c r="H23" s="116" t="s">
        <v>608</v>
      </c>
      <c r="I23" s="25">
        <v>7373.1531000000004</v>
      </c>
      <c r="J23" s="25"/>
      <c r="K23" s="2">
        <v>2134</v>
      </c>
      <c r="L23" s="138">
        <f t="shared" si="0"/>
        <v>3.319592956302863E-2</v>
      </c>
      <c r="M23" s="138">
        <f>(K23/SUM(K$23:K$24)*100)</f>
        <v>62.987012987012989</v>
      </c>
      <c r="N23" s="270">
        <v>0.1329756432706086</v>
      </c>
      <c r="O23" s="176"/>
      <c r="P23" s="139">
        <f>(M23*0.13)/100</f>
        <v>8.1883116883116891E-2</v>
      </c>
      <c r="Q23" s="139">
        <f t="shared" si="4"/>
        <v>2.5536602801533417</v>
      </c>
      <c r="R23" s="139"/>
      <c r="S23" s="131">
        <v>10</v>
      </c>
      <c r="T23" s="131">
        <v>0</v>
      </c>
      <c r="U23" s="131">
        <f t="shared" si="5"/>
        <v>10</v>
      </c>
      <c r="W23" s="140">
        <f t="shared" si="1"/>
        <v>0.25536602801533415</v>
      </c>
      <c r="X23" s="205">
        <f t="shared" si="2"/>
        <v>1.8828528210959481</v>
      </c>
      <c r="Y23" s="205">
        <f t="shared" si="6"/>
        <v>0.28308550949033723</v>
      </c>
      <c r="Z23" s="25"/>
      <c r="AA23" s="97" t="s">
        <v>669</v>
      </c>
    </row>
    <row r="24" spans="2:27" ht="15" customHeight="1">
      <c r="D24" s="131">
        <v>17</v>
      </c>
      <c r="E24" s="131" t="s">
        <v>670</v>
      </c>
      <c r="I24" s="25">
        <v>6426.9645</v>
      </c>
      <c r="J24" s="25"/>
      <c r="K24" s="2">
        <v>1254</v>
      </c>
      <c r="L24" s="138">
        <f t="shared" si="0"/>
        <v>1.950688644425394E-2</v>
      </c>
      <c r="M24" s="138">
        <f>(K24/SUM(K$23:K$24)*100)</f>
        <v>37.012987012987011</v>
      </c>
      <c r="N24" s="270"/>
      <c r="O24" s="176"/>
      <c r="P24" s="139">
        <f>(M24*0.13)/100</f>
        <v>4.811688311688312E-2</v>
      </c>
      <c r="Q24" s="139">
        <f t="shared" si="4"/>
        <v>1.5006044945230976</v>
      </c>
      <c r="R24" s="139"/>
      <c r="S24" s="131">
        <v>6</v>
      </c>
      <c r="T24" s="131">
        <v>0</v>
      </c>
      <c r="U24" s="131">
        <f t="shared" si="5"/>
        <v>6</v>
      </c>
      <c r="W24" s="140">
        <f t="shared" si="1"/>
        <v>0.25010074908718294</v>
      </c>
      <c r="X24" s="205">
        <f t="shared" si="2"/>
        <v>1.607388635806732</v>
      </c>
      <c r="Y24" s="205">
        <f t="shared" si="6"/>
        <v>0.24166967583343524</v>
      </c>
      <c r="Z24" s="25"/>
      <c r="AA24" s="130" t="s">
        <v>670</v>
      </c>
    </row>
    <row r="25" spans="2:27">
      <c r="D25" s="131">
        <v>18</v>
      </c>
      <c r="E25" s="131" t="s">
        <v>492</v>
      </c>
      <c r="F25" s="131" t="s">
        <v>630</v>
      </c>
      <c r="G25" s="131" t="s">
        <v>631</v>
      </c>
      <c r="H25" s="116" t="s">
        <v>608</v>
      </c>
      <c r="I25" s="25">
        <v>7374.1473999999998</v>
      </c>
      <c r="J25" s="25"/>
      <c r="K25" s="142">
        <v>22109</v>
      </c>
      <c r="L25" s="138">
        <f t="shared" si="0"/>
        <v>0.34392165262839741</v>
      </c>
      <c r="M25" s="138">
        <f>(K25/SUM(K$25:K$29)*100)</f>
        <v>3.3387496715464051</v>
      </c>
      <c r="N25" s="270">
        <v>0.93813415975979031</v>
      </c>
      <c r="O25" s="176"/>
      <c r="P25" s="139">
        <f>(M25*0.94)/100</f>
        <v>3.1384246912536204E-2</v>
      </c>
      <c r="Q25" s="139">
        <f t="shared" si="4"/>
        <v>0.97876959028648702</v>
      </c>
      <c r="R25" s="139"/>
      <c r="S25" s="131">
        <v>10</v>
      </c>
      <c r="T25" s="131">
        <v>0</v>
      </c>
      <c r="U25" s="131">
        <f t="shared" si="5"/>
        <v>10</v>
      </c>
      <c r="W25" s="140">
        <f t="shared" si="1"/>
        <v>9.7876959028648708E-2</v>
      </c>
      <c r="X25" s="205">
        <f t="shared" si="2"/>
        <v>0.72175912294101641</v>
      </c>
      <c r="Y25" s="205">
        <f t="shared" si="6"/>
        <v>0.10851594280647422</v>
      </c>
      <c r="Z25" s="25"/>
      <c r="AA25" s="97" t="s">
        <v>671</v>
      </c>
    </row>
    <row r="26" spans="2:27">
      <c r="D26" s="131">
        <v>19</v>
      </c>
      <c r="E26" s="131" t="s">
        <v>492</v>
      </c>
      <c r="F26" s="131" t="s">
        <v>672</v>
      </c>
      <c r="G26" s="131" t="s">
        <v>627</v>
      </c>
      <c r="H26" s="116" t="s">
        <v>628</v>
      </c>
      <c r="I26" s="25">
        <v>7361.1243999999997</v>
      </c>
      <c r="J26" s="25"/>
      <c r="K26" s="142">
        <v>22696</v>
      </c>
      <c r="L26" s="138">
        <f t="shared" si="0"/>
        <v>0.35305286661785279</v>
      </c>
      <c r="M26" s="138">
        <f t="shared" ref="M26:M29" si="9">(K26/SUM(K$25:K$29)*100)</f>
        <v>3.427394388955503</v>
      </c>
      <c r="N26" s="270"/>
      <c r="O26" s="176"/>
      <c r="P26" s="139">
        <f t="shared" ref="P26:P29" si="10">(M26*0.94)/100</f>
        <v>3.2217507256181728E-2</v>
      </c>
      <c r="Q26" s="139">
        <f t="shared" si="4"/>
        <v>1.0047561907432319</v>
      </c>
      <c r="R26" s="139"/>
      <c r="S26" s="131">
        <v>8</v>
      </c>
      <c r="T26" s="131">
        <v>2</v>
      </c>
      <c r="U26" s="131">
        <f t="shared" si="5"/>
        <v>10</v>
      </c>
      <c r="W26" s="140">
        <f t="shared" si="1"/>
        <v>0.10047561907432319</v>
      </c>
      <c r="X26" s="205">
        <f t="shared" si="2"/>
        <v>0.7396135311731058</v>
      </c>
      <c r="Y26" s="205">
        <f t="shared" si="6"/>
        <v>0.11120033969315576</v>
      </c>
      <c r="Z26" s="25"/>
      <c r="AA26" s="130" t="s">
        <v>629</v>
      </c>
    </row>
    <row r="27" spans="2:27">
      <c r="D27" s="131">
        <v>20</v>
      </c>
      <c r="E27" s="131" t="s">
        <v>492</v>
      </c>
      <c r="F27" s="131" t="s">
        <v>630</v>
      </c>
      <c r="G27" s="131" t="s">
        <v>631</v>
      </c>
      <c r="H27" s="116" t="s">
        <v>608</v>
      </c>
      <c r="I27" s="25">
        <v>7329.4731000000002</v>
      </c>
      <c r="J27" s="25"/>
      <c r="K27" s="142">
        <v>533773</v>
      </c>
      <c r="L27" s="138">
        <f t="shared" si="0"/>
        <v>8.3032291052701428</v>
      </c>
      <c r="M27" s="138">
        <f t="shared" si="9"/>
        <v>80.606740622838629</v>
      </c>
      <c r="N27" s="270"/>
      <c r="O27" s="176"/>
      <c r="P27" s="139">
        <f t="shared" si="10"/>
        <v>0.75770336185468312</v>
      </c>
      <c r="Q27" s="139">
        <f t="shared" si="4"/>
        <v>23.630231150933518</v>
      </c>
      <c r="R27" s="139"/>
      <c r="S27" s="131">
        <v>10</v>
      </c>
      <c r="T27" s="131">
        <v>0</v>
      </c>
      <c r="U27" s="131">
        <f t="shared" si="5"/>
        <v>10</v>
      </c>
      <c r="W27" s="140">
        <f t="shared" si="1"/>
        <v>2.3630231150933518</v>
      </c>
      <c r="X27" s="205">
        <f t="shared" si="2"/>
        <v>17.319714356754929</v>
      </c>
      <c r="Y27" s="205">
        <f t="shared" si="6"/>
        <v>2.604006063551596</v>
      </c>
      <c r="Z27" s="25"/>
      <c r="AA27" s="97" t="s">
        <v>673</v>
      </c>
    </row>
    <row r="28" spans="2:27">
      <c r="D28" s="131">
        <v>21</v>
      </c>
      <c r="E28" s="131" t="s">
        <v>492</v>
      </c>
      <c r="F28" s="131" t="s">
        <v>622</v>
      </c>
      <c r="G28" s="131" t="s">
        <v>623</v>
      </c>
      <c r="H28" s="116" t="s">
        <v>624</v>
      </c>
      <c r="I28" s="25">
        <v>7344.9620999999997</v>
      </c>
      <c r="J28" s="25"/>
      <c r="K28" s="142">
        <v>50639</v>
      </c>
      <c r="L28" s="138">
        <f t="shared" si="0"/>
        <v>0.78772665283139975</v>
      </c>
      <c r="M28" s="138">
        <f t="shared" si="9"/>
        <v>7.6471547612935176</v>
      </c>
      <c r="N28" s="270"/>
      <c r="O28" s="176"/>
      <c r="P28" s="139">
        <f t="shared" si="10"/>
        <v>7.188325475615906E-2</v>
      </c>
      <c r="Q28" s="139">
        <f t="shared" si="4"/>
        <v>2.2417980588229867</v>
      </c>
      <c r="R28" s="139"/>
      <c r="S28" s="131">
        <v>10</v>
      </c>
      <c r="T28" s="131">
        <v>0</v>
      </c>
      <c r="U28" s="131">
        <f t="shared" si="5"/>
        <v>10</v>
      </c>
      <c r="W28" s="140">
        <f t="shared" si="1"/>
        <v>0.22417980588229866</v>
      </c>
      <c r="X28" s="205">
        <f t="shared" si="2"/>
        <v>1.6465921777908405</v>
      </c>
      <c r="Y28" s="205">
        <f t="shared" si="6"/>
        <v>0.24756389896763512</v>
      </c>
      <c r="Z28" s="25"/>
      <c r="AA28" s="130" t="s">
        <v>625</v>
      </c>
    </row>
    <row r="29" spans="2:27">
      <c r="D29" s="131">
        <v>22</v>
      </c>
      <c r="E29" s="131" t="s">
        <v>492</v>
      </c>
      <c r="F29" s="118" t="s">
        <v>672</v>
      </c>
      <c r="G29" s="143" t="s">
        <v>627</v>
      </c>
      <c r="H29" s="116" t="s">
        <v>628</v>
      </c>
      <c r="I29" s="25">
        <v>7382.8912</v>
      </c>
      <c r="J29" s="25"/>
      <c r="K29" s="142">
        <v>32977</v>
      </c>
      <c r="L29" s="138">
        <f t="shared" si="0"/>
        <v>0.51298133514526489</v>
      </c>
      <c r="M29" s="138">
        <f t="shared" si="9"/>
        <v>4.9799605553659507</v>
      </c>
      <c r="N29" s="270"/>
      <c r="O29" s="176"/>
      <c r="P29" s="139">
        <f t="shared" si="10"/>
        <v>4.6811629220439938E-2</v>
      </c>
      <c r="Q29" s="139">
        <f t="shared" si="4"/>
        <v>1.4598979953357225</v>
      </c>
      <c r="R29" s="139"/>
      <c r="S29" s="131">
        <v>8</v>
      </c>
      <c r="T29" s="131">
        <v>2</v>
      </c>
      <c r="U29" s="131">
        <f t="shared" si="5"/>
        <v>10</v>
      </c>
      <c r="W29" s="140">
        <f t="shared" si="1"/>
        <v>0.14598979953357225</v>
      </c>
      <c r="X29" s="205">
        <f t="shared" si="2"/>
        <v>1.0778268062661747</v>
      </c>
      <c r="Y29" s="205">
        <f t="shared" si="6"/>
        <v>0.16205045193952236</v>
      </c>
      <c r="Z29" s="25"/>
      <c r="AA29" s="130" t="s">
        <v>674</v>
      </c>
    </row>
    <row r="30" spans="2:27">
      <c r="D30" s="131">
        <v>23</v>
      </c>
      <c r="E30" s="131" t="s">
        <v>41</v>
      </c>
      <c r="F30" s="131" t="s">
        <v>633</v>
      </c>
      <c r="G30" s="131" t="s">
        <v>634</v>
      </c>
      <c r="H30" s="116" t="s">
        <v>600</v>
      </c>
      <c r="I30" s="25">
        <v>6342.9040999999997</v>
      </c>
      <c r="J30" s="25"/>
      <c r="K30" s="142">
        <v>290538</v>
      </c>
      <c r="L30" s="138">
        <f t="shared" si="0"/>
        <v>4.519530920048366</v>
      </c>
      <c r="M30" s="138">
        <f>(K30/SUM(K$30:K$34)*100)</f>
        <v>15.945954401084073</v>
      </c>
      <c r="N30" s="275">
        <v>1.2499660740114171</v>
      </c>
      <c r="O30" s="176"/>
      <c r="P30" s="25">
        <f>(M30*1.25)/100</f>
        <v>0.19932443001355091</v>
      </c>
      <c r="Q30" s="139">
        <f t="shared" si="4"/>
        <v>6.2162616564338347</v>
      </c>
      <c r="R30" s="139"/>
      <c r="S30" s="131">
        <v>6</v>
      </c>
      <c r="T30" s="131">
        <v>0</v>
      </c>
      <c r="U30" s="131">
        <f t="shared" si="5"/>
        <v>6</v>
      </c>
      <c r="W30" s="140">
        <f t="shared" si="1"/>
        <v>1.0360436094056391</v>
      </c>
      <c r="X30" s="205">
        <f t="shared" si="2"/>
        <v>6.571525257877826</v>
      </c>
      <c r="Y30" s="205">
        <f t="shared" si="6"/>
        <v>0.98802389380182198</v>
      </c>
      <c r="Z30" s="25"/>
      <c r="AA30" s="115" t="s">
        <v>49</v>
      </c>
    </row>
    <row r="31" spans="2:27">
      <c r="D31" s="131">
        <v>24</v>
      </c>
      <c r="E31" s="131" t="s">
        <v>41</v>
      </c>
      <c r="F31" s="131" t="s">
        <v>633</v>
      </c>
      <c r="G31" s="131" t="s">
        <v>634</v>
      </c>
      <c r="H31" s="116" t="s">
        <v>600</v>
      </c>
      <c r="I31" s="25">
        <v>6470.1103999999996</v>
      </c>
      <c r="J31" s="25"/>
      <c r="K31" s="142">
        <v>279225</v>
      </c>
      <c r="L31" s="138">
        <f t="shared" si="0"/>
        <v>4.3435489373180269</v>
      </c>
      <c r="M31" s="138">
        <f t="shared" ref="M31:M34" si="11">(K31/SUM(K$30:K$34)*100)</f>
        <v>15.325049107664748</v>
      </c>
      <c r="N31" s="275"/>
      <c r="O31" s="176"/>
      <c r="P31" s="25">
        <f t="shared" ref="P31:P34" si="12">(M31*1.25)/100</f>
        <v>0.19156311384580935</v>
      </c>
      <c r="Q31" s="139">
        <f t="shared" si="4"/>
        <v>5.9742121891722864</v>
      </c>
      <c r="R31" s="139"/>
      <c r="S31" s="131">
        <v>6</v>
      </c>
      <c r="T31" s="131">
        <v>0</v>
      </c>
      <c r="U31" s="131">
        <f t="shared" si="5"/>
        <v>6</v>
      </c>
      <c r="W31" s="140">
        <f t="shared" si="1"/>
        <v>0.99570203152871439</v>
      </c>
      <c r="X31" s="205">
        <f t="shared" si="2"/>
        <v>6.4423020694950628</v>
      </c>
      <c r="Y31" s="205">
        <f t="shared" si="6"/>
        <v>0.96859528434736264</v>
      </c>
      <c r="Z31" s="25"/>
      <c r="AA31" s="115" t="s">
        <v>675</v>
      </c>
    </row>
    <row r="32" spans="2:27">
      <c r="D32" s="131">
        <v>25</v>
      </c>
      <c r="E32" s="131" t="s">
        <v>492</v>
      </c>
      <c r="F32" s="131" t="s">
        <v>630</v>
      </c>
      <c r="G32" s="131" t="s">
        <v>631</v>
      </c>
      <c r="H32" s="116" t="s">
        <v>608</v>
      </c>
      <c r="I32" s="25">
        <v>7401.0848999999998</v>
      </c>
      <c r="J32" s="25"/>
      <c r="K32" s="142">
        <v>600190</v>
      </c>
      <c r="L32" s="138">
        <f t="shared" si="0"/>
        <v>9.3363940789288442</v>
      </c>
      <c r="M32" s="138">
        <f t="shared" si="11"/>
        <v>32.940965973423957</v>
      </c>
      <c r="N32" s="275"/>
      <c r="O32" s="176"/>
      <c r="P32" s="25">
        <f t="shared" si="12"/>
        <v>0.4117620746677994</v>
      </c>
      <c r="Q32" s="139">
        <f t="shared" si="4"/>
        <v>12.841480575948836</v>
      </c>
      <c r="R32" s="139"/>
      <c r="S32" s="131">
        <v>10</v>
      </c>
      <c r="T32" s="131">
        <v>0</v>
      </c>
      <c r="U32" s="131">
        <f t="shared" si="5"/>
        <v>10</v>
      </c>
      <c r="W32" s="140">
        <f t="shared" si="1"/>
        <v>1.2841480575948836</v>
      </c>
      <c r="X32" s="205">
        <f t="shared" si="2"/>
        <v>9.504088798429823</v>
      </c>
      <c r="Y32" s="205">
        <f t="shared" si="6"/>
        <v>1.4289326226671701</v>
      </c>
      <c r="Z32" s="25"/>
      <c r="AA32" s="97" t="s">
        <v>676</v>
      </c>
    </row>
    <row r="33" spans="4:27">
      <c r="D33" s="131">
        <v>26</v>
      </c>
      <c r="E33" s="131" t="s">
        <v>492</v>
      </c>
      <c r="F33" s="131" t="s">
        <v>630</v>
      </c>
      <c r="G33" s="131" t="s">
        <v>631</v>
      </c>
      <c r="H33" s="116" t="s">
        <v>608</v>
      </c>
      <c r="I33" s="25">
        <v>7448.2457000000004</v>
      </c>
      <c r="J33" s="25"/>
      <c r="K33" s="142">
        <v>37280</v>
      </c>
      <c r="L33" s="138">
        <f t="shared" si="0"/>
        <v>0.57991764484990982</v>
      </c>
      <c r="M33" s="138">
        <f t="shared" si="11"/>
        <v>2.0460840925194441</v>
      </c>
      <c r="N33" s="275"/>
      <c r="O33" s="176"/>
      <c r="P33" s="25">
        <f t="shared" si="12"/>
        <v>2.557605115649305E-2</v>
      </c>
      <c r="Q33" s="139">
        <f t="shared" si="4"/>
        <v>0.79763140983917202</v>
      </c>
      <c r="R33" s="139"/>
      <c r="S33" s="131">
        <v>10</v>
      </c>
      <c r="T33" s="131">
        <v>0</v>
      </c>
      <c r="U33" s="131">
        <f t="shared" si="5"/>
        <v>10</v>
      </c>
      <c r="W33" s="140">
        <f t="shared" si="1"/>
        <v>7.9763140983917208E-2</v>
      </c>
      <c r="X33" s="205">
        <f t="shared" si="2"/>
        <v>0.5940954718519551</v>
      </c>
      <c r="Y33" s="205">
        <f t="shared" si="6"/>
        <v>8.9321808614451839E-2</v>
      </c>
      <c r="Z33" s="25"/>
      <c r="AA33" s="97" t="s">
        <v>677</v>
      </c>
    </row>
    <row r="34" spans="4:27">
      <c r="D34" s="131">
        <v>27</v>
      </c>
      <c r="E34" s="131" t="s">
        <v>492</v>
      </c>
      <c r="F34" s="131" t="s">
        <v>630</v>
      </c>
      <c r="G34" s="131" t="s">
        <v>631</v>
      </c>
      <c r="H34" s="116" t="s">
        <v>608</v>
      </c>
      <c r="I34" s="25">
        <v>7394.4731000000002</v>
      </c>
      <c r="J34" s="25"/>
      <c r="K34" s="142">
        <v>614784</v>
      </c>
      <c r="L34" s="138">
        <f t="shared" si="0"/>
        <v>9.5634144144690687</v>
      </c>
      <c r="M34" s="138">
        <f t="shared" si="11"/>
        <v>33.741946425307781</v>
      </c>
      <c r="N34" s="275"/>
      <c r="O34" s="176"/>
      <c r="P34" s="25">
        <f t="shared" si="12"/>
        <v>0.42177433031634726</v>
      </c>
      <c r="Q34" s="139">
        <f t="shared" si="4"/>
        <v>13.153729309725472</v>
      </c>
      <c r="R34" s="139"/>
      <c r="S34" s="131">
        <v>10</v>
      </c>
      <c r="T34" s="131">
        <v>0</v>
      </c>
      <c r="U34" s="131">
        <f t="shared" si="5"/>
        <v>10</v>
      </c>
      <c r="W34" s="140">
        <f t="shared" si="1"/>
        <v>1.3153729309725473</v>
      </c>
      <c r="X34" s="205">
        <f t="shared" si="2"/>
        <v>9.7264897545446587</v>
      </c>
      <c r="Y34" s="205">
        <f t="shared" si="6"/>
        <v>1.4623704396157411</v>
      </c>
      <c r="Z34" s="25"/>
      <c r="AA34" s="130" t="s">
        <v>76</v>
      </c>
    </row>
    <row r="35" spans="4:27">
      <c r="D35" s="131">
        <v>28</v>
      </c>
      <c r="E35" s="131" t="s">
        <v>492</v>
      </c>
      <c r="F35" s="131" t="s">
        <v>630</v>
      </c>
      <c r="G35" s="131" t="s">
        <v>631</v>
      </c>
      <c r="H35" s="116" t="s">
        <v>608</v>
      </c>
      <c r="I35" s="25">
        <v>7472.4256999999998</v>
      </c>
      <c r="J35" s="25"/>
      <c r="K35" s="142">
        <v>8198</v>
      </c>
      <c r="L35" s="138">
        <f t="shared" si="0"/>
        <v>0.1275258812360397</v>
      </c>
      <c r="M35" s="138">
        <f>(K35/SUM(K$35:K$36)*100)</f>
        <v>25.1874155094015</v>
      </c>
      <c r="N35" s="270">
        <v>0.183203108420603</v>
      </c>
      <c r="O35" s="176"/>
      <c r="P35" s="139">
        <f>(M35*0.18)/100</f>
        <v>4.5337347916922698E-2</v>
      </c>
      <c r="Q35" s="139">
        <f t="shared" si="4"/>
        <v>1.4139200972063839</v>
      </c>
      <c r="R35" s="139"/>
      <c r="S35" s="131">
        <v>10</v>
      </c>
      <c r="T35" s="131">
        <v>0</v>
      </c>
      <c r="U35" s="131">
        <f t="shared" si="5"/>
        <v>10</v>
      </c>
      <c r="W35" s="140">
        <f t="shared" si="1"/>
        <v>0.1413920097206384</v>
      </c>
      <c r="X35" s="205">
        <f t="shared" si="2"/>
        <v>1.0565412872111482</v>
      </c>
      <c r="Y35" s="205">
        <f t="shared" si="6"/>
        <v>0.15885019011398513</v>
      </c>
      <c r="Z35" s="25"/>
      <c r="AA35" s="115" t="s">
        <v>678</v>
      </c>
    </row>
    <row r="36" spans="4:27">
      <c r="D36" s="131">
        <v>29</v>
      </c>
      <c r="E36" s="131" t="s">
        <v>41</v>
      </c>
      <c r="F36" s="131" t="s">
        <v>598</v>
      </c>
      <c r="G36" s="131" t="s">
        <v>599</v>
      </c>
      <c r="H36" s="116" t="s">
        <v>600</v>
      </c>
      <c r="I36" s="25">
        <v>6617.8811999999998</v>
      </c>
      <c r="J36" s="25"/>
      <c r="K36" s="142">
        <v>24350</v>
      </c>
      <c r="L36" s="138">
        <f t="shared" si="0"/>
        <v>0.37878204538882249</v>
      </c>
      <c r="M36" s="138">
        <f>(K36/SUM(K$35:K$36)*100)</f>
        <v>74.812584490598496</v>
      </c>
      <c r="N36" s="270"/>
      <c r="O36" s="176"/>
      <c r="P36" s="139">
        <f>(M36*0.18)/100</f>
        <v>0.13466265208307729</v>
      </c>
      <c r="Q36" s="139">
        <f t="shared" si="4"/>
        <v>4.1996772831148386</v>
      </c>
      <c r="R36" s="139"/>
      <c r="S36" s="131">
        <v>6</v>
      </c>
      <c r="T36" s="131">
        <v>1</v>
      </c>
      <c r="U36" s="131">
        <f t="shared" si="5"/>
        <v>7</v>
      </c>
      <c r="W36" s="140">
        <f t="shared" si="1"/>
        <v>0.59995389758783413</v>
      </c>
      <c r="X36" s="205">
        <f t="shared" si="2"/>
        <v>3.9704236197132525</v>
      </c>
      <c r="Y36" s="205">
        <f t="shared" si="6"/>
        <v>0.59695021336015452</v>
      </c>
      <c r="Z36" s="25"/>
      <c r="AA36" s="130" t="s">
        <v>636</v>
      </c>
    </row>
    <row r="37" spans="4:27">
      <c r="D37" s="131">
        <v>30</v>
      </c>
      <c r="E37" s="131" t="s">
        <v>41</v>
      </c>
      <c r="F37" s="131" t="s">
        <v>633</v>
      </c>
      <c r="G37" s="131" t="s">
        <v>634</v>
      </c>
      <c r="H37" s="116" t="s">
        <v>600</v>
      </c>
      <c r="I37" s="25">
        <v>6389.7871999999998</v>
      </c>
      <c r="J37" s="25"/>
      <c r="K37" s="142">
        <v>75399</v>
      </c>
      <c r="L37" s="138">
        <f t="shared" si="0"/>
        <v>1.1728865478551058</v>
      </c>
      <c r="M37" s="138">
        <f>(K37/SUM(K$37:K$39)*100)</f>
        <v>11.237061931339747</v>
      </c>
      <c r="N37" s="270">
        <v>1.0815396308897827</v>
      </c>
      <c r="O37" s="176"/>
      <c r="P37" s="139">
        <f>(M37*1.08)/100</f>
        <v>0.12136026885846928</v>
      </c>
      <c r="Q37" s="139">
        <f t="shared" si="4"/>
        <v>3.784820485216569</v>
      </c>
      <c r="R37" s="139"/>
      <c r="S37" s="131">
        <v>6</v>
      </c>
      <c r="T37" s="131">
        <v>0</v>
      </c>
      <c r="U37" s="131">
        <f t="shared" si="5"/>
        <v>6</v>
      </c>
      <c r="W37" s="140">
        <f t="shared" si="1"/>
        <v>0.63080341420276154</v>
      </c>
      <c r="X37" s="205">
        <f t="shared" si="2"/>
        <v>4.0306995817891043</v>
      </c>
      <c r="Y37" s="205">
        <f t="shared" si="6"/>
        <v>0.60601265905058865</v>
      </c>
      <c r="Z37" s="25"/>
      <c r="AA37" s="115" t="s">
        <v>638</v>
      </c>
    </row>
    <row r="38" spans="4:27">
      <c r="D38" s="131">
        <v>31</v>
      </c>
      <c r="E38" s="131" t="s">
        <v>41</v>
      </c>
      <c r="F38" s="131" t="s">
        <v>633</v>
      </c>
      <c r="G38" s="131" t="s">
        <v>634</v>
      </c>
      <c r="H38" s="116" t="s">
        <v>600</v>
      </c>
      <c r="I38" s="25">
        <v>6441.8076000000001</v>
      </c>
      <c r="J38" s="25"/>
      <c r="K38" s="142">
        <v>551246</v>
      </c>
      <c r="L38" s="138">
        <f t="shared" si="0"/>
        <v>8.5750343898319041</v>
      </c>
      <c r="M38" s="138">
        <f t="shared" ref="M38:M39" si="13">(K38/SUM(K$37:K$39)*100)</f>
        <v>82.15474265445576</v>
      </c>
      <c r="N38" s="270"/>
      <c r="O38" s="176"/>
      <c r="P38" s="139">
        <f t="shared" ref="P38:P39" si="14">(M38*1.08)/100</f>
        <v>0.88727122066812225</v>
      </c>
      <c r="Q38" s="139">
        <f t="shared" si="4"/>
        <v>27.671018888761026</v>
      </c>
      <c r="R38" s="139"/>
      <c r="S38" s="131">
        <v>6</v>
      </c>
      <c r="T38" s="131">
        <v>0</v>
      </c>
      <c r="U38" s="131">
        <f t="shared" si="5"/>
        <v>6</v>
      </c>
      <c r="W38" s="140">
        <f t="shared" si="1"/>
        <v>4.6118364814601707</v>
      </c>
      <c r="X38" s="205">
        <f t="shared" si="2"/>
        <v>29.708563296227389</v>
      </c>
      <c r="Y38" s="205">
        <f t="shared" si="6"/>
        <v>4.4666602098209855</v>
      </c>
      <c r="Z38" s="25"/>
      <c r="AA38" s="115" t="s">
        <v>639</v>
      </c>
    </row>
    <row r="39" spans="4:27">
      <c r="D39" s="131">
        <v>32</v>
      </c>
      <c r="E39" s="131" t="s">
        <v>41</v>
      </c>
      <c r="F39" s="131" t="s">
        <v>633</v>
      </c>
      <c r="G39" s="131" t="s">
        <v>634</v>
      </c>
      <c r="H39" s="116" t="s">
        <v>600</v>
      </c>
      <c r="I39" s="25">
        <v>6427.7828</v>
      </c>
      <c r="J39" s="25"/>
      <c r="K39" s="142">
        <v>44340</v>
      </c>
      <c r="L39" s="138">
        <f t="shared" si="0"/>
        <v>0.6897411044164431</v>
      </c>
      <c r="M39" s="138">
        <f t="shared" si="13"/>
        <v>6.6081954142044905</v>
      </c>
      <c r="N39" s="270"/>
      <c r="O39" s="176"/>
      <c r="P39" s="139">
        <f t="shared" si="14"/>
        <v>7.1368510473408503E-2</v>
      </c>
      <c r="Q39" s="139">
        <f t="shared" si="4"/>
        <v>2.2257449079497431</v>
      </c>
      <c r="R39" s="139"/>
      <c r="S39" s="131">
        <v>6</v>
      </c>
      <c r="T39" s="131">
        <v>0</v>
      </c>
      <c r="U39" s="131">
        <f t="shared" si="5"/>
        <v>6</v>
      </c>
      <c r="W39" s="140">
        <f t="shared" si="1"/>
        <v>0.37095748465829054</v>
      </c>
      <c r="X39" s="205">
        <f t="shared" si="2"/>
        <v>2.3844341394178237</v>
      </c>
      <c r="Y39" s="205">
        <f t="shared" si="6"/>
        <v>0.358497884508229</v>
      </c>
      <c r="Z39" s="25"/>
      <c r="AA39" s="115" t="s">
        <v>679</v>
      </c>
    </row>
    <row r="40" spans="4:27">
      <c r="D40" s="131">
        <v>33</v>
      </c>
      <c r="E40" s="131" t="s">
        <v>41</v>
      </c>
      <c r="F40" s="131" t="s">
        <v>598</v>
      </c>
      <c r="G40" s="131" t="s">
        <v>599</v>
      </c>
      <c r="H40" s="116" t="s">
        <v>600</v>
      </c>
      <c r="I40" s="25">
        <v>6601.8626999999997</v>
      </c>
      <c r="J40" s="25"/>
      <c r="K40" s="142">
        <v>203158</v>
      </c>
      <c r="L40" s="138">
        <f t="shared" si="0"/>
        <v>3.160271161277306</v>
      </c>
      <c r="M40" s="138">
        <f>(K40/SUM(K$40:K$41)*100)</f>
        <v>93.889453738792866</v>
      </c>
      <c r="N40" s="270">
        <v>0.3736118972080017</v>
      </c>
      <c r="O40" s="176"/>
      <c r="P40" s="139">
        <f>(M40*0.37)/100</f>
        <v>0.34739097883353359</v>
      </c>
      <c r="Q40" s="139">
        <f t="shared" si="4"/>
        <v>10.83396160403972</v>
      </c>
      <c r="R40" s="139"/>
      <c r="S40" s="131">
        <v>6</v>
      </c>
      <c r="T40" s="131">
        <v>1</v>
      </c>
      <c r="U40" s="131">
        <f t="shared" si="5"/>
        <v>7</v>
      </c>
      <c r="W40" s="140">
        <f t="shared" si="1"/>
        <v>1.5477088005771029</v>
      </c>
      <c r="X40" s="205">
        <f t="shared" ref="X40:X63" si="15">(W40*I40)/1000</f>
        <v>10.217761000991713</v>
      </c>
      <c r="Y40" s="205">
        <f t="shared" si="6"/>
        <v>1.5362327030599268</v>
      </c>
      <c r="Z40" s="25"/>
      <c r="AA40" s="130" t="s">
        <v>640</v>
      </c>
    </row>
    <row r="41" spans="4:27">
      <c r="D41" s="131">
        <v>34</v>
      </c>
      <c r="E41" s="131" t="s">
        <v>492</v>
      </c>
      <c r="F41" s="118" t="s">
        <v>680</v>
      </c>
      <c r="G41" s="143" t="s">
        <v>642</v>
      </c>
      <c r="H41" s="144" t="s">
        <v>608</v>
      </c>
      <c r="I41" s="25">
        <v>6653.8357999999998</v>
      </c>
      <c r="J41" s="25"/>
      <c r="K41" s="142">
        <v>13222</v>
      </c>
      <c r="L41" s="138">
        <f t="shared" si="0"/>
        <v>0.20567787285958977</v>
      </c>
      <c r="M41" s="138">
        <f>(K41/SUM(K$40:K$41)*100)</f>
        <v>6.1105462612071362</v>
      </c>
      <c r="N41" s="270"/>
      <c r="O41" s="176"/>
      <c r="P41" s="139">
        <f>(M41*0.37)/100</f>
        <v>2.2609021166466407E-2</v>
      </c>
      <c r="Q41" s="139">
        <f t="shared" si="4"/>
        <v>0.70509967773168281</v>
      </c>
      <c r="R41" s="139"/>
      <c r="S41" s="131">
        <v>8</v>
      </c>
      <c r="T41" s="131">
        <v>0</v>
      </c>
      <c r="U41" s="131">
        <f t="shared" si="5"/>
        <v>8</v>
      </c>
      <c r="W41" s="140">
        <f t="shared" si="1"/>
        <v>8.8137459716460351E-2</v>
      </c>
      <c r="X41" s="205">
        <f t="shared" si="15"/>
        <v>0.58645218478244165</v>
      </c>
      <c r="Y41" s="205">
        <f t="shared" si="6"/>
        <v>8.8172646136104385E-2</v>
      </c>
      <c r="Z41" s="25"/>
      <c r="AA41" s="130" t="s">
        <v>643</v>
      </c>
    </row>
    <row r="42" spans="4:27">
      <c r="D42" s="131">
        <v>35</v>
      </c>
      <c r="E42" s="131" t="s">
        <v>492</v>
      </c>
      <c r="F42" s="46" t="s">
        <v>672</v>
      </c>
      <c r="G42" s="131" t="s">
        <v>627</v>
      </c>
      <c r="H42" s="116" t="s">
        <v>628</v>
      </c>
      <c r="I42" s="25">
        <v>7632.2903999999999</v>
      </c>
      <c r="J42" s="25"/>
      <c r="K42" s="142">
        <v>1254</v>
      </c>
      <c r="L42" s="138">
        <f t="shared" si="0"/>
        <v>1.950688644425394E-2</v>
      </c>
      <c r="M42" s="138">
        <f>(K42/SUM(K$42:K$44)*100)</f>
        <v>1.4082767140210006</v>
      </c>
      <c r="N42" s="270">
        <v>0.53945873544716372</v>
      </c>
      <c r="O42" s="176"/>
      <c r="P42" s="139">
        <f>(M42*0.54)/100</f>
        <v>7.6046942557134031E-3</v>
      </c>
      <c r="Q42" s="139">
        <f t="shared" si="4"/>
        <v>0.23716495417787006</v>
      </c>
      <c r="R42" s="139"/>
      <c r="S42" s="131">
        <v>10</v>
      </c>
      <c r="T42" s="131">
        <v>2</v>
      </c>
      <c r="U42" s="131">
        <f t="shared" si="5"/>
        <v>12</v>
      </c>
      <c r="W42" s="140">
        <f t="shared" si="1"/>
        <v>1.9763746181489173E-2</v>
      </c>
      <c r="X42" s="205">
        <f t="shared" si="15"/>
        <v>0.15084265024901647</v>
      </c>
      <c r="Y42" s="205">
        <f t="shared" si="6"/>
        <v>2.2679079331203635E-2</v>
      </c>
      <c r="Z42" s="25"/>
      <c r="AA42" s="130" t="s">
        <v>629</v>
      </c>
    </row>
    <row r="43" spans="4:27">
      <c r="D43" s="131">
        <v>36</v>
      </c>
      <c r="E43" s="131" t="s">
        <v>492</v>
      </c>
      <c r="F43" s="46" t="s">
        <v>622</v>
      </c>
      <c r="G43" s="131" t="s">
        <v>623</v>
      </c>
      <c r="H43" s="116" t="s">
        <v>624</v>
      </c>
      <c r="I43" s="25">
        <v>7346.2878000000001</v>
      </c>
      <c r="J43" s="25"/>
      <c r="K43" s="142">
        <v>85037</v>
      </c>
      <c r="L43" s="138">
        <f t="shared" si="0"/>
        <v>1.3228126814673222</v>
      </c>
      <c r="M43" s="138">
        <f t="shared" ref="M43:M44" si="16">(K43/SUM(K$42:K$44)*100)</f>
        <v>95.498905048009433</v>
      </c>
      <c r="N43" s="270"/>
      <c r="O43" s="176"/>
      <c r="P43" s="139">
        <f t="shared" ref="P43:P44" si="17">(M43*0.54)/100</f>
        <v>0.51569408725925103</v>
      </c>
      <c r="Q43" s="139">
        <f t="shared" si="4"/>
        <v>16.082772096031533</v>
      </c>
      <c r="R43" s="139"/>
      <c r="S43" s="131">
        <v>10</v>
      </c>
      <c r="T43" s="131">
        <v>0</v>
      </c>
      <c r="U43" s="131">
        <f t="shared" si="5"/>
        <v>10</v>
      </c>
      <c r="W43" s="140">
        <f t="shared" si="1"/>
        <v>1.6082772096031532</v>
      </c>
      <c r="X43" s="205">
        <f t="shared" si="15"/>
        <v>11.814867243925688</v>
      </c>
      <c r="Y43" s="205">
        <f t="shared" si="6"/>
        <v>1.7763564288368567</v>
      </c>
      <c r="Z43" s="25"/>
      <c r="AA43" s="130" t="s">
        <v>625</v>
      </c>
    </row>
    <row r="44" spans="4:27">
      <c r="D44" s="131">
        <v>37</v>
      </c>
      <c r="E44" s="143" t="s">
        <v>492</v>
      </c>
      <c r="F44" s="118" t="s">
        <v>672</v>
      </c>
      <c r="G44" s="143" t="s">
        <v>627</v>
      </c>
      <c r="H44" s="144" t="s">
        <v>628</v>
      </c>
      <c r="I44" s="25">
        <v>7382.8912</v>
      </c>
      <c r="J44" s="25"/>
      <c r="K44" s="142">
        <v>2754</v>
      </c>
      <c r="L44" s="138">
        <f t="shared" si="0"/>
        <v>4.2840482669438074E-2</v>
      </c>
      <c r="M44" s="138">
        <f t="shared" si="16"/>
        <v>3.0928182379695657</v>
      </c>
      <c r="N44" s="270"/>
      <c r="O44" s="176"/>
      <c r="P44" s="139">
        <f t="shared" si="17"/>
        <v>1.6701218485035654E-2</v>
      </c>
      <c r="Q44" s="139">
        <f t="shared" si="4"/>
        <v>0.52085509075426961</v>
      </c>
      <c r="R44" s="139"/>
      <c r="S44" s="131">
        <v>8</v>
      </c>
      <c r="T44" s="131">
        <v>0</v>
      </c>
      <c r="U44" s="131">
        <f t="shared" si="5"/>
        <v>8</v>
      </c>
      <c r="W44" s="140">
        <f t="shared" si="1"/>
        <v>6.5106886344283701E-2</v>
      </c>
      <c r="X44" s="205">
        <f t="shared" si="15"/>
        <v>0.48067705825061235</v>
      </c>
      <c r="Y44" s="205">
        <f t="shared" si="6"/>
        <v>7.226943519461472E-2</v>
      </c>
      <c r="Z44" s="25"/>
      <c r="AA44" s="130" t="s">
        <v>637</v>
      </c>
    </row>
    <row r="45" spans="4:27">
      <c r="D45" s="131">
        <v>38</v>
      </c>
      <c r="E45" s="131" t="s">
        <v>111</v>
      </c>
      <c r="F45" s="131" t="s">
        <v>645</v>
      </c>
      <c r="G45" s="131" t="s">
        <v>646</v>
      </c>
      <c r="H45" s="116" t="s">
        <v>600</v>
      </c>
      <c r="I45" s="25">
        <v>13333.5419</v>
      </c>
      <c r="J45" s="25"/>
      <c r="K45" s="142">
        <v>117094</v>
      </c>
      <c r="L45" s="138">
        <f t="shared" si="0"/>
        <v>1.8214827442611408</v>
      </c>
      <c r="M45" s="138">
        <f>(K45/SUM(K$45:K$47)*100)</f>
        <v>91.607795276206573</v>
      </c>
      <c r="N45" s="270">
        <v>6.5668721776913666</v>
      </c>
      <c r="O45" s="176"/>
      <c r="P45" s="139">
        <f>(M45*6.57)/100</f>
        <v>6.0186321496467725</v>
      </c>
      <c r="Q45" s="139">
        <f t="shared" si="4"/>
        <v>187.70098704652341</v>
      </c>
      <c r="R45" s="139"/>
      <c r="S45" s="131">
        <v>14</v>
      </c>
      <c r="T45" s="131">
        <v>1</v>
      </c>
      <c r="U45" s="131">
        <f t="shared" si="5"/>
        <v>15</v>
      </c>
      <c r="W45" s="140">
        <f t="shared" si="1"/>
        <v>12.513399136434893</v>
      </c>
      <c r="X45" s="205">
        <f>(W45*I45)/1000</f>
        <v>166.84793169707845</v>
      </c>
      <c r="Y45" s="205">
        <f t="shared" si="6"/>
        <v>25.085461392773162</v>
      </c>
      <c r="Z45" s="25"/>
      <c r="AA45" s="145" t="s">
        <v>136</v>
      </c>
    </row>
    <row r="46" spans="4:27">
      <c r="D46" s="271">
        <v>39</v>
      </c>
      <c r="E46" s="131" t="s">
        <v>111</v>
      </c>
      <c r="F46" s="131" t="s">
        <v>645</v>
      </c>
      <c r="G46" s="131" t="s">
        <v>646</v>
      </c>
      <c r="H46" s="116" t="s">
        <v>600</v>
      </c>
      <c r="I46" s="25">
        <v>13316.454100000001</v>
      </c>
      <c r="J46" s="25"/>
      <c r="K46" s="142">
        <v>6440</v>
      </c>
      <c r="L46" s="138">
        <f t="shared" si="0"/>
        <v>0.1001789064601239</v>
      </c>
      <c r="M46" s="138">
        <f>(K46/SUM(K$45:K$47)*100)</f>
        <v>5.038295741701285</v>
      </c>
      <c r="N46" s="270"/>
      <c r="O46" s="176"/>
      <c r="P46" s="139">
        <f>(M46*6.57)/100</f>
        <v>0.33101603022977444</v>
      </c>
      <c r="Q46" s="139">
        <f t="shared" si="4"/>
        <v>10.323281778567736</v>
      </c>
      <c r="R46" s="139"/>
      <c r="S46" s="131">
        <v>14</v>
      </c>
      <c r="T46" s="131">
        <v>1</v>
      </c>
      <c r="U46" s="131">
        <f t="shared" si="5"/>
        <v>15</v>
      </c>
      <c r="W46" s="140">
        <f t="shared" si="1"/>
        <v>0.68821878523784907</v>
      </c>
      <c r="X46" s="205">
        <f t="shared" si="15"/>
        <v>9.164633864377576</v>
      </c>
      <c r="Y46" s="205">
        <f t="shared" si="6"/>
        <v>1.3778958279275497</v>
      </c>
      <c r="Z46" s="25"/>
      <c r="AA46" s="130" t="s">
        <v>647</v>
      </c>
    </row>
    <row r="47" spans="4:27">
      <c r="D47" s="271"/>
      <c r="E47" s="131" t="s">
        <v>183</v>
      </c>
      <c r="F47" s="131"/>
      <c r="G47" s="131"/>
      <c r="H47" s="116"/>
      <c r="I47" s="198">
        <v>26681.93</v>
      </c>
      <c r="J47" s="198"/>
      <c r="K47" s="142">
        <v>4287</v>
      </c>
      <c r="L47" s="138">
        <f t="shared" si="0"/>
        <v>6.6687418011576266E-2</v>
      </c>
      <c r="M47" s="138">
        <f>(K47/SUM(K$45:K$47)*100)</f>
        <v>3.3539089820921442</v>
      </c>
      <c r="N47" s="270"/>
      <c r="O47" s="197"/>
      <c r="P47" s="197">
        <f>(M47*6.57)/100</f>
        <v>0.22035182012345389</v>
      </c>
      <c r="Q47" s="197">
        <f t="shared" si="4"/>
        <v>6.8720355566335227</v>
      </c>
      <c r="R47" s="197"/>
      <c r="S47" s="131">
        <v>16</v>
      </c>
      <c r="T47" s="131">
        <v>4</v>
      </c>
      <c r="U47" s="131">
        <f t="shared" si="5"/>
        <v>20</v>
      </c>
      <c r="W47" s="140">
        <f t="shared" si="1"/>
        <v>0.34360177783167611</v>
      </c>
      <c r="X47" s="205">
        <f t="shared" si="15"/>
        <v>9.167958583980333</v>
      </c>
      <c r="Y47" s="205">
        <f t="shared" si="6"/>
        <v>1.3783956970262461</v>
      </c>
      <c r="Z47" s="198"/>
    </row>
    <row r="48" spans="4:27">
      <c r="D48" s="131">
        <v>40</v>
      </c>
      <c r="E48" s="131" t="s">
        <v>111</v>
      </c>
      <c r="F48" s="131" t="s">
        <v>645</v>
      </c>
      <c r="G48" s="131" t="s">
        <v>646</v>
      </c>
      <c r="H48" s="116" t="s">
        <v>600</v>
      </c>
      <c r="I48" s="25">
        <v>13323.8194</v>
      </c>
      <c r="J48" s="25"/>
      <c r="K48" s="142">
        <v>2586</v>
      </c>
      <c r="L48" s="138">
        <f t="shared" si="0"/>
        <v>4.0227119892217451E-2</v>
      </c>
      <c r="M48" s="138">
        <f>(K48/SUM(K$48:K$51)*100)</f>
        <v>3.0627109610943331</v>
      </c>
      <c r="N48" s="270">
        <v>3.051726606614189</v>
      </c>
      <c r="O48" s="176"/>
      <c r="P48" s="139">
        <f>(M48*3.05)/100</f>
        <v>9.3412684313377153E-2</v>
      </c>
      <c r="Q48" s="139">
        <f t="shared" si="4"/>
        <v>2.9132288886130411</v>
      </c>
      <c r="R48" s="139"/>
      <c r="S48" s="131">
        <v>14</v>
      </c>
      <c r="T48" s="131">
        <v>1</v>
      </c>
      <c r="U48" s="131">
        <f t="shared" si="5"/>
        <v>15</v>
      </c>
      <c r="W48" s="140">
        <f t="shared" si="1"/>
        <v>0.19421525924086941</v>
      </c>
      <c r="X48" s="205">
        <f t="shared" si="15"/>
        <v>2.5876890388495255</v>
      </c>
      <c r="Y48" s="205">
        <f t="shared" si="6"/>
        <v>0.3890571061942551</v>
      </c>
      <c r="Z48" s="25"/>
      <c r="AA48" s="130" t="s">
        <v>129</v>
      </c>
    </row>
    <row r="49" spans="2:27">
      <c r="D49" s="131">
        <v>41</v>
      </c>
      <c r="E49" s="131" t="s">
        <v>111</v>
      </c>
      <c r="F49" s="131" t="s">
        <v>645</v>
      </c>
      <c r="G49" s="131" t="s">
        <v>646</v>
      </c>
      <c r="H49" s="116" t="s">
        <v>600</v>
      </c>
      <c r="I49" s="25">
        <v>13389.509700000001</v>
      </c>
      <c r="J49" s="25"/>
      <c r="K49" s="142">
        <v>69593</v>
      </c>
      <c r="L49" s="138">
        <f t="shared" si="0"/>
        <v>1.0825699747328266</v>
      </c>
      <c r="M49" s="138">
        <f t="shared" ref="M49:M51" si="18">(K49/SUM(K$48:K$51)*100)</f>
        <v>82.421981405815131</v>
      </c>
      <c r="N49" s="270"/>
      <c r="O49" s="176"/>
      <c r="P49" s="139">
        <f t="shared" ref="P49" si="19">(M49*3.05)/100</f>
        <v>2.5138704328773613</v>
      </c>
      <c r="Q49" s="139">
        <f t="shared" si="4"/>
        <v>78.399202647040738</v>
      </c>
      <c r="R49" s="139"/>
      <c r="S49" s="131">
        <v>14</v>
      </c>
      <c r="T49" s="131">
        <v>1</v>
      </c>
      <c r="U49" s="131">
        <f t="shared" si="5"/>
        <v>15</v>
      </c>
      <c r="W49" s="140">
        <f t="shared" si="1"/>
        <v>5.226613509802716</v>
      </c>
      <c r="X49" s="206">
        <f t="shared" si="15"/>
        <v>69.981792287654514</v>
      </c>
      <c r="Y49" s="205">
        <f t="shared" si="6"/>
        <v>10.521709983293533</v>
      </c>
      <c r="Z49" s="25"/>
      <c r="AA49" s="145" t="s">
        <v>651</v>
      </c>
    </row>
    <row r="50" spans="2:27">
      <c r="D50" s="271">
        <v>42</v>
      </c>
      <c r="E50" s="131" t="s">
        <v>111</v>
      </c>
      <c r="F50" s="131" t="s">
        <v>648</v>
      </c>
      <c r="G50" s="131" t="s">
        <v>649</v>
      </c>
      <c r="H50" s="116" t="s">
        <v>600</v>
      </c>
      <c r="I50" s="25">
        <v>13353.6497</v>
      </c>
      <c r="J50" s="25"/>
      <c r="K50" s="142">
        <v>10451</v>
      </c>
      <c r="L50" s="138">
        <f t="shared" si="0"/>
        <v>0.16257294276626627</v>
      </c>
      <c r="M50" s="138">
        <f t="shared" si="18"/>
        <v>12.3775685438503</v>
      </c>
      <c r="N50" s="270"/>
      <c r="O50" s="176"/>
      <c r="P50" s="139">
        <f>(M50*3.05)/100</f>
        <v>0.37751584058743409</v>
      </c>
      <c r="Q50" s="139">
        <f t="shared" si="4"/>
        <v>11.773455187507691</v>
      </c>
      <c r="R50" s="139"/>
      <c r="S50" s="131">
        <v>14</v>
      </c>
      <c r="T50" s="131">
        <v>1</v>
      </c>
      <c r="U50" s="131">
        <f t="shared" si="5"/>
        <v>15</v>
      </c>
      <c r="W50" s="140">
        <f t="shared" si="1"/>
        <v>0.7848970125005128</v>
      </c>
      <c r="X50" s="206">
        <f t="shared" si="15"/>
        <v>10.481239755508369</v>
      </c>
      <c r="Y50" s="205">
        <f t="shared" si="6"/>
        <v>1.5758465361893863</v>
      </c>
      <c r="Z50" s="25"/>
      <c r="AA50" s="130" t="s">
        <v>681</v>
      </c>
    </row>
    <row r="51" spans="2:27">
      <c r="D51" s="271"/>
      <c r="E51" s="131" t="s">
        <v>183</v>
      </c>
      <c r="F51" s="131"/>
      <c r="G51" s="131"/>
      <c r="H51" s="116"/>
      <c r="I51" s="198">
        <v>26681.93</v>
      </c>
      <c r="J51" s="198"/>
      <c r="K51" s="142">
        <v>1805</v>
      </c>
      <c r="L51" s="138">
        <f t="shared" si="0"/>
        <v>2.8078094124304911E-2</v>
      </c>
      <c r="M51" s="138">
        <f t="shared" si="18"/>
        <v>2.1377390892402439</v>
      </c>
      <c r="N51" s="270"/>
      <c r="O51" s="197"/>
      <c r="P51" s="197">
        <f>(M51*3.05)/100</f>
        <v>6.5201042221827432E-2</v>
      </c>
      <c r="Q51" s="197">
        <f t="shared" si="4"/>
        <v>2.0334022211703551</v>
      </c>
      <c r="R51" s="197"/>
      <c r="S51" s="131">
        <v>16</v>
      </c>
      <c r="T51" s="131">
        <v>4</v>
      </c>
      <c r="U51" s="131">
        <f t="shared" si="5"/>
        <v>20</v>
      </c>
      <c r="W51" s="140">
        <f t="shared" si="1"/>
        <v>0.10167011105851775</v>
      </c>
      <c r="X51" s="205">
        <f t="shared" si="15"/>
        <v>2.7127547863555965</v>
      </c>
      <c r="Y51" s="205">
        <f t="shared" si="6"/>
        <v>0.40786064753103263</v>
      </c>
      <c r="Z51" s="198"/>
    </row>
    <row r="52" spans="2:27">
      <c r="D52" s="131">
        <v>43</v>
      </c>
      <c r="E52" s="131" t="s">
        <v>166</v>
      </c>
      <c r="G52" s="203" t="s">
        <v>166</v>
      </c>
      <c r="I52" s="205">
        <v>56000</v>
      </c>
      <c r="J52" s="25"/>
      <c r="K52" s="268">
        <v>1605</v>
      </c>
      <c r="L52" s="269">
        <f t="shared" si="0"/>
        <v>2.4966947960947023E-2</v>
      </c>
      <c r="M52" s="210">
        <v>90</v>
      </c>
      <c r="N52" s="270">
        <v>1.7050585807499614</v>
      </c>
      <c r="O52" s="147"/>
      <c r="P52" s="204">
        <f>(M52*1.71)/100</f>
        <v>1.5390000000000001</v>
      </c>
      <c r="Q52" s="139">
        <f>(P52/32.065)*1000</f>
        <v>47.996257601746457</v>
      </c>
      <c r="R52" s="139"/>
      <c r="S52" s="131">
        <v>36</v>
      </c>
      <c r="T52" s="131">
        <v>2</v>
      </c>
      <c r="U52" s="131">
        <f>SUM(S52:T52)</f>
        <v>38</v>
      </c>
      <c r="W52" s="140">
        <f>(Q52/U52)</f>
        <v>1.2630594105722752</v>
      </c>
      <c r="X52" s="205">
        <f>(W52*I52)/1000</f>
        <v>70.731326992047414</v>
      </c>
      <c r="Y52" s="205">
        <f t="shared" si="6"/>
        <v>10.634401963939291</v>
      </c>
      <c r="Z52" s="25"/>
    </row>
    <row r="53" spans="2:27">
      <c r="D53" s="203"/>
      <c r="E53" s="203" t="s">
        <v>652</v>
      </c>
      <c r="F53" s="131" t="s">
        <v>146</v>
      </c>
      <c r="G53" s="131" t="s">
        <v>653</v>
      </c>
      <c r="H53" s="116" t="s">
        <v>600</v>
      </c>
      <c r="I53" s="25">
        <v>12704.9246</v>
      </c>
      <c r="J53" s="205"/>
      <c r="K53" s="268"/>
      <c r="L53" s="269"/>
      <c r="M53" s="210">
        <v>6.27</v>
      </c>
      <c r="N53" s="270"/>
      <c r="O53" s="147"/>
      <c r="P53" s="204">
        <f>(M53*1.71)/100</f>
        <v>0.10721699999999998</v>
      </c>
      <c r="Q53" s="204">
        <f>(P53/32.065)*1000</f>
        <v>3.3437392795883358</v>
      </c>
      <c r="R53" s="204"/>
      <c r="S53" s="203">
        <v>6</v>
      </c>
      <c r="T53" s="203">
        <v>2</v>
      </c>
      <c r="U53" s="203">
        <f>SUM(S53:T53)</f>
        <v>8</v>
      </c>
      <c r="V53" s="203"/>
      <c r="W53" s="140">
        <f>(Q53/U53)</f>
        <v>0.41796740994854198</v>
      </c>
      <c r="X53" s="205">
        <f>(W53*I54)/1000</f>
        <v>3.0366688637006853</v>
      </c>
      <c r="Y53" s="205">
        <f t="shared" si="6"/>
        <v>0.45656088612055451</v>
      </c>
      <c r="Z53" s="205"/>
      <c r="AA53" s="130" t="s">
        <v>682</v>
      </c>
    </row>
    <row r="54" spans="2:27" s="148" customFormat="1">
      <c r="B54" s="226"/>
      <c r="D54" s="2">
        <v>44</v>
      </c>
      <c r="E54" s="2" t="s">
        <v>619</v>
      </c>
      <c r="I54" s="24">
        <v>7265.3244999999997</v>
      </c>
      <c r="J54" s="24"/>
      <c r="K54" s="2">
        <v>11746</v>
      </c>
      <c r="L54" s="149">
        <f>(K54/$K$64)*100</f>
        <v>0.18271761417400859</v>
      </c>
      <c r="M54" s="149">
        <f>(K54/SUM(K$54:K$55)*100)</f>
        <v>49.282537551397162</v>
      </c>
      <c r="N54" s="277">
        <v>0.20739066960406186</v>
      </c>
      <c r="O54" s="177"/>
      <c r="P54" s="24">
        <f>(M54*0.21)/100</f>
        <v>0.10349332885793404</v>
      </c>
      <c r="Q54" s="139">
        <f t="shared" si="4"/>
        <v>3.227610443097896</v>
      </c>
      <c r="R54" s="139"/>
      <c r="S54" s="2">
        <v>8</v>
      </c>
      <c r="T54" s="2">
        <v>0</v>
      </c>
      <c r="U54" s="2">
        <f t="shared" si="5"/>
        <v>8</v>
      </c>
      <c r="V54" s="2"/>
      <c r="W54" s="140">
        <f t="shared" si="1"/>
        <v>0.403451305387237</v>
      </c>
      <c r="X54" s="205">
        <f t="shared" si="15"/>
        <v>2.931204653586875</v>
      </c>
      <c r="Y54" s="205">
        <f t="shared" si="6"/>
        <v>0.44070442122932307</v>
      </c>
      <c r="Z54" s="25"/>
      <c r="AA54" s="148" t="s">
        <v>619</v>
      </c>
    </row>
    <row r="55" spans="2:27" s="148" customFormat="1">
      <c r="B55" s="226"/>
      <c r="D55" s="2">
        <v>45</v>
      </c>
      <c r="E55" s="2" t="s">
        <v>41</v>
      </c>
      <c r="F55" s="2" t="s">
        <v>598</v>
      </c>
      <c r="G55" s="2" t="s">
        <v>599</v>
      </c>
      <c r="H55" s="150" t="s">
        <v>600</v>
      </c>
      <c r="I55" s="24">
        <v>7194.2840999999999</v>
      </c>
      <c r="J55" s="24"/>
      <c r="K55" s="2">
        <v>12088</v>
      </c>
      <c r="L55" s="149">
        <f>(K55/$K$64)*100</f>
        <v>0.18803767411335057</v>
      </c>
      <c r="M55" s="149">
        <f>(K55/SUM(K$54:K$55)*100)</f>
        <v>50.717462448602838</v>
      </c>
      <c r="N55" s="277"/>
      <c r="O55" s="177"/>
      <c r="P55" s="24">
        <f>(M55*0.21)/100</f>
        <v>0.10650667114206595</v>
      </c>
      <c r="Q55" s="139">
        <f t="shared" si="4"/>
        <v>3.3215865006101972</v>
      </c>
      <c r="R55" s="139"/>
      <c r="S55" s="2">
        <v>6</v>
      </c>
      <c r="T55" s="2">
        <v>1</v>
      </c>
      <c r="U55" s="2">
        <f t="shared" si="5"/>
        <v>7</v>
      </c>
      <c r="V55" s="2"/>
      <c r="W55" s="140">
        <f t="shared" si="1"/>
        <v>0.47451235723002816</v>
      </c>
      <c r="X55" s="205">
        <f t="shared" si="15"/>
        <v>3.4137767068735116</v>
      </c>
      <c r="Y55" s="205">
        <f t="shared" si="6"/>
        <v>0.5132587675063357</v>
      </c>
      <c r="Z55" s="25"/>
      <c r="AA55" s="148" t="s">
        <v>683</v>
      </c>
    </row>
    <row r="56" spans="2:27">
      <c r="D56" s="131">
        <v>46</v>
      </c>
      <c r="E56" s="131" t="s">
        <v>652</v>
      </c>
      <c r="F56" s="131" t="s">
        <v>684</v>
      </c>
      <c r="G56" s="131" t="s">
        <v>653</v>
      </c>
      <c r="H56" s="116" t="s">
        <v>600</v>
      </c>
      <c r="I56" s="25">
        <v>12852.0262</v>
      </c>
      <c r="J56" s="25"/>
      <c r="K56" s="142">
        <v>10858</v>
      </c>
      <c r="L56" s="138">
        <f>(K56/$K$64)*100</f>
        <v>0.16890412520869957</v>
      </c>
      <c r="M56" s="138">
        <v>0.1</v>
      </c>
      <c r="N56" s="270">
        <v>1.7050585807499614</v>
      </c>
      <c r="O56" s="176"/>
      <c r="P56" s="139">
        <f>(M56*1.71)/100</f>
        <v>1.7100000000000001E-3</v>
      </c>
      <c r="Q56" s="139">
        <f t="shared" si="4"/>
        <v>5.3329175113051623E-2</v>
      </c>
      <c r="R56" s="139"/>
      <c r="S56" s="131">
        <v>6</v>
      </c>
      <c r="T56" s="131">
        <v>2</v>
      </c>
      <c r="U56" s="131">
        <f t="shared" si="5"/>
        <v>8</v>
      </c>
      <c r="W56" s="140">
        <f t="shared" si="1"/>
        <v>6.6661468891314529E-3</v>
      </c>
      <c r="X56" s="205">
        <f>(W56*I56)/1000</f>
        <v>8.5673494472165934E-2</v>
      </c>
      <c r="Y56" s="205">
        <f t="shared" si="6"/>
        <v>1.2880945637776316E-2</v>
      </c>
      <c r="Z56" s="25"/>
      <c r="AA56" s="130" t="s">
        <v>685</v>
      </c>
    </row>
    <row r="57" spans="2:27">
      <c r="D57" s="203"/>
      <c r="E57" s="203" t="s">
        <v>166</v>
      </c>
      <c r="G57" s="203" t="s">
        <v>166</v>
      </c>
      <c r="I57" s="205">
        <v>56000</v>
      </c>
      <c r="J57" s="205"/>
      <c r="K57" s="268">
        <v>67114</v>
      </c>
      <c r="L57" s="269">
        <f>(K57/$K$64)*100</f>
        <v>1.0440073180380054</v>
      </c>
      <c r="M57" s="210">
        <v>16</v>
      </c>
      <c r="N57" s="270"/>
      <c r="O57" s="204"/>
      <c r="P57" s="139">
        <f>(M57*1.71)/100</f>
        <v>0.27360000000000001</v>
      </c>
      <c r="Q57" s="139">
        <f>(P57/32.065)*1000</f>
        <v>8.532668018088259</v>
      </c>
      <c r="R57" s="139"/>
      <c r="S57" s="131">
        <v>36</v>
      </c>
      <c r="T57" s="131">
        <v>2</v>
      </c>
      <c r="U57" s="131">
        <f>SUM(S57:T57)</f>
        <v>38</v>
      </c>
      <c r="W57" s="140">
        <f>(Q57/U57)</f>
        <v>0.22454389521284893</v>
      </c>
      <c r="X57" s="205">
        <f>(W57*I57)/1000</f>
        <v>12.57445813191954</v>
      </c>
      <c r="Y57" s="205">
        <f t="shared" si="6"/>
        <v>1.8905603491447625</v>
      </c>
      <c r="Z57" s="205"/>
    </row>
    <row r="58" spans="2:27">
      <c r="D58" s="131">
        <v>47</v>
      </c>
      <c r="E58" s="131" t="s">
        <v>652</v>
      </c>
      <c r="F58" s="131" t="s">
        <v>146</v>
      </c>
      <c r="G58" s="131" t="s">
        <v>653</v>
      </c>
      <c r="H58" s="116" t="s">
        <v>600</v>
      </c>
      <c r="I58" s="25">
        <v>13329.2305</v>
      </c>
      <c r="J58" s="25"/>
      <c r="K58" s="268"/>
      <c r="L58" s="269"/>
      <c r="M58" s="160">
        <v>0.01</v>
      </c>
      <c r="N58" s="270"/>
      <c r="O58" s="176"/>
      <c r="P58" s="204">
        <f>(M58*1.71)/100</f>
        <v>1.7100000000000001E-4</v>
      </c>
      <c r="Q58" s="204">
        <f>(P58/32.065)*1000</f>
        <v>5.3329175113051618E-3</v>
      </c>
      <c r="S58" s="203">
        <v>6</v>
      </c>
      <c r="T58" s="203">
        <v>2</v>
      </c>
      <c r="U58" s="203">
        <f>SUM(S58:T58)</f>
        <v>8</v>
      </c>
      <c r="V58" s="130"/>
      <c r="W58" s="140">
        <f>(Q58/U58)</f>
        <v>6.6661468891314522E-4</v>
      </c>
      <c r="X58" s="205">
        <f>(W58*I59)/1000</f>
        <v>3.733042257913613E-2</v>
      </c>
      <c r="Y58" s="205">
        <f t="shared" si="6"/>
        <v>5.6126010365235134E-3</v>
      </c>
      <c r="Z58" s="25"/>
      <c r="AA58" s="124" t="s">
        <v>147</v>
      </c>
    </row>
    <row r="59" spans="2:27">
      <c r="D59" s="203"/>
      <c r="E59" s="203" t="s">
        <v>166</v>
      </c>
      <c r="G59" s="203" t="s">
        <v>166</v>
      </c>
      <c r="I59" s="205">
        <v>56000</v>
      </c>
      <c r="J59" s="205"/>
      <c r="K59" s="268">
        <v>4235</v>
      </c>
      <c r="L59" s="269">
        <f>(K59/$K$64)*100</f>
        <v>6.5878520009103214E-2</v>
      </c>
      <c r="M59" s="210">
        <v>5.6</v>
      </c>
      <c r="N59" s="270">
        <v>0.42173216704436178</v>
      </c>
      <c r="O59" s="204"/>
      <c r="P59" s="204">
        <f t="shared" ref="P59:P60" si="20">(M59*1.71)/100</f>
        <v>9.5759999999999984E-2</v>
      </c>
      <c r="Q59" s="139">
        <f>(P59/32.065)*1000</f>
        <v>2.9864338063308904</v>
      </c>
      <c r="R59" s="204"/>
      <c r="S59" s="203">
        <v>36</v>
      </c>
      <c r="T59" s="203">
        <v>2</v>
      </c>
      <c r="U59" s="203">
        <f>SUM(S59:T59)</f>
        <v>38</v>
      </c>
      <c r="V59" s="203"/>
      <c r="W59" s="140">
        <f t="shared" ref="W59:W60" si="21">(Q59/U59)</f>
        <v>7.859036332449712E-2</v>
      </c>
      <c r="X59" s="205">
        <f t="shared" ref="X59" si="22">(W59*I60)/1000</f>
        <v>0.43329067830968349</v>
      </c>
      <c r="Y59" s="205">
        <f t="shared" si="6"/>
        <v>6.514492851083023E-2</v>
      </c>
      <c r="Z59" s="205"/>
      <c r="AA59" s="124"/>
    </row>
    <row r="60" spans="2:27">
      <c r="D60" s="131">
        <v>48</v>
      </c>
      <c r="F60" s="131"/>
      <c r="G60" s="131"/>
      <c r="H60" s="116"/>
      <c r="I60" s="25">
        <v>5513.28</v>
      </c>
      <c r="J60" s="25"/>
      <c r="K60" s="268"/>
      <c r="L60" s="269"/>
      <c r="M60" s="147">
        <v>0.6</v>
      </c>
      <c r="N60" s="270"/>
      <c r="O60" s="176"/>
      <c r="P60" s="204">
        <f t="shared" si="20"/>
        <v>1.026E-2</v>
      </c>
      <c r="Q60" s="204">
        <f>(P60/32.065)*1000</f>
        <v>0.31997505067830972</v>
      </c>
      <c r="R60" s="139"/>
      <c r="S60" s="203">
        <v>6</v>
      </c>
      <c r="T60" s="203">
        <v>2</v>
      </c>
      <c r="U60" s="203">
        <f>SUM(S60:T60)</f>
        <v>8</v>
      </c>
      <c r="W60" s="140">
        <f t="shared" si="21"/>
        <v>3.9996881334788716E-2</v>
      </c>
      <c r="X60" s="205" t="s">
        <v>956</v>
      </c>
      <c r="Y60" s="205"/>
      <c r="Z60" s="25"/>
      <c r="AA60" s="151"/>
    </row>
    <row r="61" spans="2:27">
      <c r="D61" s="131">
        <v>49</v>
      </c>
      <c r="E61" s="131" t="s">
        <v>183</v>
      </c>
      <c r="F61" s="131" t="s">
        <v>656</v>
      </c>
      <c r="G61" s="131" t="s">
        <v>657</v>
      </c>
      <c r="H61" s="116" t="s">
        <v>658</v>
      </c>
      <c r="I61" s="25">
        <v>24890.3629</v>
      </c>
      <c r="J61" s="25"/>
      <c r="K61" s="142">
        <v>2805</v>
      </c>
      <c r="L61" s="138">
        <f>(K61/$K$64)*100</f>
        <v>4.3633824941094336E-2</v>
      </c>
      <c r="M61" s="146">
        <v>100</v>
      </c>
      <c r="N61" s="147">
        <v>0.31485045838935632</v>
      </c>
      <c r="O61" s="147"/>
      <c r="P61" s="147">
        <v>0.31</v>
      </c>
      <c r="Q61" s="139">
        <f t="shared" si="4"/>
        <v>9.6678621549976622</v>
      </c>
      <c r="R61" s="139"/>
      <c r="S61" s="131">
        <v>16</v>
      </c>
      <c r="T61" s="131">
        <v>4</v>
      </c>
      <c r="U61" s="131">
        <f t="shared" si="5"/>
        <v>20</v>
      </c>
      <c r="W61" s="140">
        <f t="shared" si="1"/>
        <v>0.48339310774988309</v>
      </c>
      <c r="X61" s="205">
        <f t="shared" si="15"/>
        <v>12.031829875253392</v>
      </c>
      <c r="Y61" s="205">
        <f t="shared" si="6"/>
        <v>1.8089765977324888</v>
      </c>
      <c r="Z61" s="25"/>
      <c r="AA61" s="130" t="s">
        <v>659</v>
      </c>
    </row>
    <row r="62" spans="2:27" ht="15" customHeight="1">
      <c r="D62" s="131">
        <v>50</v>
      </c>
      <c r="E62" s="131" t="s">
        <v>183</v>
      </c>
      <c r="F62" s="131" t="s">
        <v>656</v>
      </c>
      <c r="G62" s="131" t="s">
        <v>657</v>
      </c>
      <c r="H62" s="116" t="s">
        <v>658</v>
      </c>
      <c r="I62" s="25">
        <v>25011.442299999999</v>
      </c>
      <c r="J62" s="25"/>
      <c r="K62" s="142">
        <v>34269</v>
      </c>
      <c r="L62" s="138">
        <f>(K62/$K$64)*100</f>
        <v>0.53307933936055674</v>
      </c>
      <c r="M62" s="138">
        <f>(K62/SUM(K$62:K$63)*100)</f>
        <v>96.469892745545138</v>
      </c>
      <c r="N62" s="270">
        <v>1.067228681096936</v>
      </c>
      <c r="O62" s="176"/>
      <c r="P62" s="139">
        <f>(M62*1.07)/100</f>
        <v>1.0322278523773329</v>
      </c>
      <c r="Q62" s="139">
        <f t="shared" si="4"/>
        <v>32.191730933333325</v>
      </c>
      <c r="R62" s="139"/>
      <c r="S62" s="131">
        <v>16</v>
      </c>
      <c r="T62" s="131">
        <v>4</v>
      </c>
      <c r="U62" s="131">
        <f t="shared" si="5"/>
        <v>20</v>
      </c>
      <c r="W62" s="140">
        <f t="shared" si="1"/>
        <v>1.6095865466666663</v>
      </c>
      <c r="X62" s="205">
        <f t="shared" si="15"/>
        <v>40.258081038809578</v>
      </c>
      <c r="Y62" s="205">
        <f t="shared" si="6"/>
        <v>6.0527722901576393</v>
      </c>
      <c r="Z62" s="25"/>
      <c r="AA62" s="130" t="s">
        <v>659</v>
      </c>
    </row>
    <row r="63" spans="2:27">
      <c r="D63" s="131">
        <v>51</v>
      </c>
      <c r="E63" s="131" t="s">
        <v>183</v>
      </c>
      <c r="F63" s="131" t="s">
        <v>656</v>
      </c>
      <c r="G63" s="131" t="s">
        <v>657</v>
      </c>
      <c r="H63" s="116" t="s">
        <v>658</v>
      </c>
      <c r="I63" s="25">
        <v>24993.4961</v>
      </c>
      <c r="J63" s="25"/>
      <c r="K63" s="142">
        <v>1254</v>
      </c>
      <c r="L63" s="138">
        <f>(K63/$K$64)*100</f>
        <v>1.950688644425394E-2</v>
      </c>
      <c r="M63" s="138">
        <f>(K63/SUM(K$62:K$63)*100)</f>
        <v>3.5301072544548604</v>
      </c>
      <c r="N63" s="270"/>
      <c r="O63" s="176"/>
      <c r="P63" s="139">
        <f>(M63*1.07)/100</f>
        <v>3.7772147622667007E-2</v>
      </c>
      <c r="Q63" s="139">
        <f t="shared" si="4"/>
        <v>1.1779868274650558</v>
      </c>
      <c r="R63" s="139"/>
      <c r="S63" s="131">
        <v>16</v>
      </c>
      <c r="T63" s="131">
        <v>4</v>
      </c>
      <c r="U63" s="131">
        <f t="shared" si="5"/>
        <v>20</v>
      </c>
      <c r="W63" s="140">
        <f t="shared" si="1"/>
        <v>5.8899341373252791E-2</v>
      </c>
      <c r="X63" s="205">
        <f t="shared" si="15"/>
        <v>1.4721004589049624</v>
      </c>
      <c r="Y63" s="205">
        <f t="shared" si="6"/>
        <v>0.22132919990395492</v>
      </c>
      <c r="Z63" s="25"/>
      <c r="AA63" s="130" t="s">
        <v>659</v>
      </c>
    </row>
    <row r="64" spans="2:27">
      <c r="H64" s="152"/>
      <c r="K64" s="130">
        <f>SUM(K8:K63)</f>
        <v>6428499</v>
      </c>
      <c r="L64" s="153">
        <f>SUM(L8:L63)</f>
        <v>99.999999999999972</v>
      </c>
      <c r="M64" s="154"/>
      <c r="N64" s="155">
        <f>SUM(N8:N63)</f>
        <v>24.05022388018121</v>
      </c>
      <c r="O64" s="190"/>
      <c r="P64" s="154"/>
      <c r="Q64" s="155">
        <f>SUM(Q8:Q63)</f>
        <v>693.2872388952095</v>
      </c>
      <c r="R64" s="154"/>
      <c r="W64" s="140"/>
      <c r="X64" s="156">
        <f>SUM(X8:X63)</f>
        <v>665.11805019119743</v>
      </c>
      <c r="Y64" s="156">
        <f>SUM(Y8:Y63)</f>
        <v>100</v>
      </c>
      <c r="Z64" s="25"/>
    </row>
    <row r="65" spans="8:34">
      <c r="H65" s="152"/>
      <c r="N65" s="181">
        <v>0.93500000000000005</v>
      </c>
      <c r="O65" s="192"/>
      <c r="W65" s="140"/>
      <c r="X65" s="205"/>
      <c r="Y65" s="205"/>
      <c r="Z65" s="25"/>
    </row>
    <row r="66" spans="8:34">
      <c r="X66" s="132"/>
      <c r="Y66" s="132"/>
      <c r="Z66" s="132"/>
    </row>
    <row r="67" spans="8:34">
      <c r="AA67" s="21"/>
      <c r="AB67" s="21" t="s">
        <v>1003</v>
      </c>
      <c r="AC67" s="21" t="s">
        <v>741</v>
      </c>
      <c r="AD67" s="21" t="s">
        <v>721</v>
      </c>
      <c r="AE67" s="74"/>
      <c r="AF67" s="199" t="s">
        <v>722</v>
      </c>
      <c r="AH67" s="170" t="s">
        <v>944</v>
      </c>
    </row>
    <row r="68" spans="8:34" ht="6" customHeight="1">
      <c r="AA68" s="74"/>
      <c r="AB68" s="74"/>
      <c r="AC68" s="74"/>
      <c r="AD68" s="74"/>
      <c r="AE68" s="74"/>
      <c r="AF68" s="21"/>
    </row>
    <row r="69" spans="8:34">
      <c r="AA69" s="21" t="s">
        <v>492</v>
      </c>
      <c r="AB69" s="74">
        <v>150.34</v>
      </c>
      <c r="AC69" s="214">
        <f>(AB69*100)/$X$64</f>
        <v>22.60350624325752</v>
      </c>
      <c r="AD69" s="200" t="s">
        <v>742</v>
      </c>
      <c r="AE69" s="74"/>
      <c r="AF69" s="94" t="s">
        <v>1007</v>
      </c>
      <c r="AH69" s="130">
        <v>65.8</v>
      </c>
    </row>
    <row r="70" spans="8:34">
      <c r="AA70" s="21" t="s">
        <v>41</v>
      </c>
      <c r="AB70" s="74">
        <v>92.12</v>
      </c>
      <c r="AC70" s="214">
        <f t="shared" ref="AC70:AC74" si="23">(AB70*100)/$X$64</f>
        <v>13.850172908932306</v>
      </c>
      <c r="AD70" s="200" t="s">
        <v>735</v>
      </c>
      <c r="AE70" s="74"/>
      <c r="AF70" s="94" t="s">
        <v>1008</v>
      </c>
      <c r="AH70" s="130">
        <v>28.5</v>
      </c>
    </row>
    <row r="71" spans="8:34">
      <c r="AA71" s="21" t="s">
        <v>111</v>
      </c>
      <c r="AB71" s="74">
        <v>270.08999999999997</v>
      </c>
      <c r="AC71" s="214">
        <f t="shared" si="23"/>
        <v>40.607828929369582</v>
      </c>
      <c r="AD71" s="200" t="s">
        <v>1009</v>
      </c>
      <c r="AE71" s="74"/>
      <c r="AF71" s="94" t="s">
        <v>1010</v>
      </c>
      <c r="AH71" s="130">
        <v>3.9</v>
      </c>
    </row>
    <row r="72" spans="8:34">
      <c r="AA72" s="21" t="s">
        <v>183</v>
      </c>
      <c r="AB72" s="74">
        <v>65.64</v>
      </c>
      <c r="AC72" s="214">
        <f t="shared" si="23"/>
        <v>9.8689247692392161</v>
      </c>
      <c r="AD72" s="200" t="s">
        <v>743</v>
      </c>
      <c r="AE72" s="74"/>
      <c r="AF72" s="94" t="s">
        <v>957</v>
      </c>
      <c r="AH72" s="130">
        <v>0.6</v>
      </c>
    </row>
    <row r="73" spans="8:34">
      <c r="AA73" s="121" t="s">
        <v>166</v>
      </c>
      <c r="AB73" s="115">
        <v>83.73</v>
      </c>
      <c r="AC73" s="214">
        <f t="shared" si="23"/>
        <v>12.588742701529547</v>
      </c>
      <c r="AD73" s="130">
        <v>6.6</v>
      </c>
      <c r="AF73" s="94" t="s">
        <v>755</v>
      </c>
      <c r="AH73" s="130">
        <v>1.1000000000000001</v>
      </c>
    </row>
    <row r="74" spans="8:34">
      <c r="AA74" s="121" t="s">
        <v>652</v>
      </c>
      <c r="AB74" s="115">
        <v>3.17</v>
      </c>
      <c r="AC74" s="215">
        <f t="shared" si="23"/>
        <v>0.47660712246325887</v>
      </c>
      <c r="AD74" s="130">
        <v>0.2</v>
      </c>
      <c r="AF74" s="94" t="s">
        <v>744</v>
      </c>
      <c r="AH74" s="130">
        <v>0.2</v>
      </c>
    </row>
    <row r="75" spans="8:34">
      <c r="AB75" s="115">
        <v>665.12</v>
      </c>
      <c r="AC75" s="132">
        <f>SUM(AC69:AC74)</f>
        <v>99.995782674791428</v>
      </c>
      <c r="AD75" s="132">
        <v>92.5</v>
      </c>
    </row>
    <row r="77" spans="8:34">
      <c r="AA77" s="121" t="s">
        <v>228</v>
      </c>
      <c r="AD77" s="130">
        <v>6.7</v>
      </c>
    </row>
    <row r="78" spans="8:34">
      <c r="AA78" s="121" t="s">
        <v>233</v>
      </c>
      <c r="AD78" s="130">
        <v>0.7</v>
      </c>
    </row>
    <row r="79" spans="8:34">
      <c r="AA79" s="121" t="s">
        <v>751</v>
      </c>
      <c r="AD79" s="130">
        <v>0.1</v>
      </c>
    </row>
    <row r="80" spans="8:34">
      <c r="AD80" s="130">
        <f>SUM(AD77:AD79)</f>
        <v>7.5</v>
      </c>
    </row>
    <row r="82" spans="29:30">
      <c r="AC82" s="164" t="s">
        <v>754</v>
      </c>
      <c r="AD82" s="175">
        <f>AD75+AD80</f>
        <v>100</v>
      </c>
    </row>
    <row r="84" spans="29:30">
      <c r="AC84" s="242"/>
    </row>
  </sheetData>
  <mergeCells count="36">
    <mergeCell ref="N62:N63"/>
    <mergeCell ref="N40:N41"/>
    <mergeCell ref="N42:N44"/>
    <mergeCell ref="N54:N55"/>
    <mergeCell ref="N56:N58"/>
    <mergeCell ref="N45:N47"/>
    <mergeCell ref="N48:N51"/>
    <mergeCell ref="AA6:AN6"/>
    <mergeCell ref="N8:N12"/>
    <mergeCell ref="N13:N14"/>
    <mergeCell ref="N15:N18"/>
    <mergeCell ref="N19:N20"/>
    <mergeCell ref="N37:N39"/>
    <mergeCell ref="F6:H6"/>
    <mergeCell ref="N21:N22"/>
    <mergeCell ref="N23:N24"/>
    <mergeCell ref="N25:N29"/>
    <mergeCell ref="N30:N34"/>
    <mergeCell ref="N35:N36"/>
    <mergeCell ref="D4:I4"/>
    <mergeCell ref="S5:U5"/>
    <mergeCell ref="W5:X5"/>
    <mergeCell ref="P5:Q5"/>
    <mergeCell ref="K4:N4"/>
    <mergeCell ref="K5:N5"/>
    <mergeCell ref="S4:Y4"/>
    <mergeCell ref="K52:K53"/>
    <mergeCell ref="L52:L53"/>
    <mergeCell ref="N52:N53"/>
    <mergeCell ref="D46:D47"/>
    <mergeCell ref="D50:D51"/>
    <mergeCell ref="K57:K58"/>
    <mergeCell ref="L57:L58"/>
    <mergeCell ref="K59:K60"/>
    <mergeCell ref="L59:L60"/>
    <mergeCell ref="N59:N60"/>
  </mergeCells>
  <hyperlinks>
    <hyperlink ref="B13" location="'W. aegyptia (Sinai)'!A1" display="Table S1" xr:uid="{0B1E45B5-D461-D045-99EF-8B1C0F7A39A6}"/>
    <hyperlink ref="B14" location="'W. aegyptia (Riyadh)'!A1" display="Table S2" xr:uid="{DC2C1EF7-3154-A24B-B461-2A8824544726}"/>
    <hyperlink ref="B15" location="'W. morgani'!A1" display="Table S3" xr:uid="{93D50840-FFB8-884E-908B-CB83C7C97260}"/>
    <hyperlink ref="B16" location="'Top-Down MS IDs'!A1" display="Table S4" xr:uid="{AE385637-EA4A-5849-856B-1C0F68C541AF}"/>
    <hyperlink ref="B12" location="'Transcriptomic database'!A1" display="Table S5" xr:uid="{DAE31E05-2B22-1C41-9DD3-44E2D8BDB92D}"/>
    <hyperlink ref="B17" location="'W. aegyptia (Sinai) ICP-MS'!A1" display="Table S6" xr:uid="{48397DE0-2C4D-2644-8528-E5140FB23FA2}"/>
    <hyperlink ref="B18" location="'W. aegyptia (Riyadh) ICP-MS'!A1" display="Table S7" xr:uid="{DC0E3B5E-2008-2544-B880-04423A9303CE}"/>
    <hyperlink ref="B19" location="'W. morgani ICP-MS'!A1" display="Table S8" xr:uid="{82E5E30D-8ED9-E24C-A019-603257ECCA40}"/>
    <hyperlink ref="B11" location="INDEX!A1" display="INDEX" xr:uid="{D492799E-C023-7444-844F-95BC29929A0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2D9E-99FB-304D-99CE-7B989E3E1CB1}">
  <dimension ref="B1:AN66"/>
  <sheetViews>
    <sheetView topLeftCell="M37" zoomScale="110" workbookViewId="0">
      <selection activeCell="A4" sqref="A4:XFD6"/>
    </sheetView>
  </sheetViews>
  <sheetFormatPr baseColWidth="10" defaultRowHeight="16"/>
  <cols>
    <col min="1" max="1" width="10.83203125" style="130"/>
    <col min="2" max="2" width="10.83203125" style="133"/>
    <col min="3" max="3" width="10.83203125" style="130"/>
    <col min="4" max="4" width="12.33203125" style="130" customWidth="1"/>
    <col min="5" max="5" width="13.5" style="131" customWidth="1"/>
    <col min="6" max="6" width="12.6640625" style="96" bestFit="1" customWidth="1"/>
    <col min="7" max="7" width="13.5" style="130" customWidth="1"/>
    <col min="8" max="8" width="10.83203125" style="116"/>
    <col min="9" max="9" width="11.6640625" style="131" bestFit="1" customWidth="1"/>
    <col min="10" max="10" width="1.5" style="131" customWidth="1"/>
    <col min="11" max="11" width="13.1640625" style="131" customWidth="1"/>
    <col min="12" max="12" width="13.1640625" style="133" customWidth="1"/>
    <col min="13" max="13" width="15.6640625" style="133" customWidth="1"/>
    <col min="14" max="14" width="12.5" style="133" customWidth="1"/>
    <col min="15" max="15" width="1.5" style="135" customWidth="1"/>
    <col min="16" max="16" width="12.5" style="133" customWidth="1"/>
    <col min="17" max="17" width="24.83203125" style="133" customWidth="1"/>
    <col min="18" max="18" width="1.5" style="133" customWidth="1"/>
    <col min="19" max="19" width="9.1640625" style="131" customWidth="1"/>
    <col min="20" max="20" width="8.6640625" style="130" customWidth="1"/>
    <col min="21" max="21" width="6.83203125" style="130" customWidth="1"/>
    <col min="22" max="22" width="1.5" style="136" customWidth="1"/>
    <col min="23" max="23" width="28.1640625" style="130" customWidth="1"/>
    <col min="24" max="24" width="16.33203125" style="130" customWidth="1"/>
    <col min="25" max="25" width="13.1640625" style="130" customWidth="1"/>
    <col min="26" max="26" width="1.5" style="130" customWidth="1"/>
    <col min="27" max="27" width="10.83203125" style="130"/>
    <col min="28" max="28" width="21" style="130" customWidth="1"/>
    <col min="29" max="29" width="13.83203125" style="130" customWidth="1"/>
    <col min="30" max="30" width="14.83203125" style="130" customWidth="1"/>
    <col min="31" max="31" width="2.33203125" style="130" customWidth="1"/>
    <col min="32" max="32" width="12.5" style="130" customWidth="1"/>
    <col min="33" max="33" width="1.5" style="130" customWidth="1"/>
    <col min="34" max="34" width="15.33203125" style="130" customWidth="1"/>
    <col min="35" max="16384" width="10.83203125" style="130"/>
  </cols>
  <sheetData>
    <row r="1" spans="2:40">
      <c r="N1" s="130"/>
      <c r="O1" s="136"/>
      <c r="P1" s="130"/>
      <c r="Q1" s="130"/>
      <c r="R1" s="130"/>
    </row>
    <row r="2" spans="2:40" ht="19">
      <c r="D2" s="167" t="s">
        <v>789</v>
      </c>
      <c r="N2" s="130"/>
      <c r="O2" s="136"/>
      <c r="P2" s="130"/>
      <c r="Q2" s="130"/>
      <c r="R2" s="130"/>
    </row>
    <row r="3" spans="2:40">
      <c r="N3" s="130"/>
      <c r="O3" s="136"/>
      <c r="P3" s="130"/>
      <c r="Q3" s="130"/>
      <c r="R3" s="130"/>
    </row>
    <row r="4" spans="2:40">
      <c r="D4" s="272" t="s">
        <v>583</v>
      </c>
      <c r="E4" s="272"/>
      <c r="F4" s="272"/>
      <c r="G4" s="272"/>
      <c r="H4" s="272"/>
      <c r="I4" s="272"/>
      <c r="J4" s="76"/>
      <c r="K4" s="272" t="s">
        <v>584</v>
      </c>
      <c r="L4" s="272"/>
      <c r="M4" s="272"/>
      <c r="N4" s="272"/>
      <c r="O4" s="100"/>
      <c r="P4" s="193"/>
      <c r="Q4" s="193"/>
      <c r="R4" s="76"/>
      <c r="S4" s="279" t="s">
        <v>585</v>
      </c>
      <c r="T4" s="279"/>
      <c r="U4" s="279"/>
      <c r="V4" s="279"/>
      <c r="W4" s="279"/>
      <c r="X4" s="279"/>
      <c r="Y4" s="279"/>
      <c r="Z4" s="178"/>
      <c r="AN4" s="100"/>
    </row>
    <row r="5" spans="2:40" ht="16" customHeight="1">
      <c r="D5" s="131"/>
      <c r="E5" s="130"/>
      <c r="F5" s="130"/>
      <c r="H5" s="132"/>
      <c r="K5" s="274" t="s">
        <v>723</v>
      </c>
      <c r="L5" s="274"/>
      <c r="M5" s="274"/>
      <c r="N5" s="274"/>
      <c r="P5" s="278" t="s">
        <v>955</v>
      </c>
      <c r="Q5" s="278"/>
      <c r="R5" s="76"/>
      <c r="S5" s="274" t="s">
        <v>586</v>
      </c>
      <c r="T5" s="274"/>
      <c r="U5" s="274"/>
      <c r="V5" s="178"/>
      <c r="W5" s="274" t="s">
        <v>587</v>
      </c>
      <c r="X5" s="274"/>
      <c r="Y5" s="274"/>
      <c r="Z5" s="178"/>
      <c r="AA5" s="100"/>
    </row>
    <row r="6" spans="2:40" s="101" customFormat="1" ht="15" customHeight="1">
      <c r="B6" s="184"/>
      <c r="D6" s="169" t="s">
        <v>588</v>
      </c>
      <c r="E6" s="169" t="s">
        <v>14</v>
      </c>
      <c r="F6" s="272" t="s">
        <v>589</v>
      </c>
      <c r="G6" s="272"/>
      <c r="H6" s="272"/>
      <c r="I6" s="103" t="s">
        <v>590</v>
      </c>
      <c r="J6" s="104"/>
      <c r="K6" s="169" t="s">
        <v>591</v>
      </c>
      <c r="L6" s="169" t="s">
        <v>592</v>
      </c>
      <c r="M6" s="169" t="s">
        <v>593</v>
      </c>
      <c r="N6" s="105" t="s">
        <v>660</v>
      </c>
      <c r="O6" s="184"/>
      <c r="P6" s="106" t="s">
        <v>594</v>
      </c>
      <c r="Q6" s="179" t="s">
        <v>739</v>
      </c>
      <c r="R6" s="107"/>
      <c r="S6" s="169" t="s">
        <v>595</v>
      </c>
      <c r="T6" s="169" t="s">
        <v>596</v>
      </c>
      <c r="U6" s="169" t="s">
        <v>661</v>
      </c>
      <c r="V6" s="178"/>
      <c r="W6" s="180" t="s">
        <v>738</v>
      </c>
      <c r="X6" s="108" t="s">
        <v>597</v>
      </c>
      <c r="Y6" s="211" t="s">
        <v>740</v>
      </c>
      <c r="Z6" s="109"/>
      <c r="AA6" s="276" t="s">
        <v>952</v>
      </c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</row>
    <row r="7" spans="2:40" s="159" customFormat="1" ht="19">
      <c r="B7" s="158"/>
      <c r="D7" s="157"/>
      <c r="E7" s="157"/>
      <c r="F7" s="157"/>
      <c r="G7" s="157"/>
      <c r="H7" s="157"/>
      <c r="I7" s="157"/>
      <c r="J7" s="157"/>
      <c r="K7" s="157"/>
      <c r="L7" s="158"/>
      <c r="M7" s="158"/>
      <c r="N7" s="158"/>
      <c r="O7" s="158"/>
      <c r="P7" s="158"/>
      <c r="Q7" s="158"/>
      <c r="R7" s="158"/>
      <c r="S7" s="157"/>
      <c r="W7" s="136"/>
      <c r="X7" s="136"/>
    </row>
    <row r="8" spans="2:40">
      <c r="B8" s="66"/>
      <c r="D8" s="131">
        <v>1</v>
      </c>
      <c r="E8" s="131" t="s">
        <v>492</v>
      </c>
      <c r="F8" s="46" t="s">
        <v>26</v>
      </c>
      <c r="G8" s="46" t="s">
        <v>416</v>
      </c>
      <c r="H8" s="116" t="s">
        <v>600</v>
      </c>
      <c r="I8" s="53">
        <v>6848.0303999999996</v>
      </c>
      <c r="J8" s="53"/>
      <c r="K8" s="133">
        <v>2512701</v>
      </c>
      <c r="L8" s="154">
        <f>(K8/$K$48)*100</f>
        <v>41.460695682046897</v>
      </c>
      <c r="M8" s="25">
        <f>(K8/SUM(K$8:K$17)*100)</f>
        <v>80.280090404924337</v>
      </c>
      <c r="N8" s="275">
        <v>5.899310839784401</v>
      </c>
      <c r="O8" s="176"/>
      <c r="P8" s="160">
        <f>(M8*5.9)/100</f>
        <v>4.7365253338905369</v>
      </c>
      <c r="Q8" s="25">
        <f>(P8/32.065)*1000</f>
        <v>147.71636781196125</v>
      </c>
      <c r="R8" s="25"/>
      <c r="S8" s="131">
        <v>8</v>
      </c>
      <c r="T8" s="131">
        <v>0</v>
      </c>
      <c r="U8" s="131">
        <f>SUM(S8:T8)</f>
        <v>8</v>
      </c>
      <c r="V8" s="104"/>
      <c r="W8" s="113">
        <f>(Q8/U8)</f>
        <v>18.464545976495156</v>
      </c>
      <c r="X8" s="113">
        <f>(W8*I8)/1000</f>
        <v>126.44577216923651</v>
      </c>
      <c r="Y8" s="209">
        <f>(X8*100)/$X$48</f>
        <v>16.397042986565594</v>
      </c>
      <c r="Z8" s="161"/>
      <c r="AA8" s="130" t="s">
        <v>27</v>
      </c>
    </row>
    <row r="9" spans="2:40" ht="16" customHeight="1">
      <c r="B9" s="224"/>
      <c r="D9" s="131">
        <v>2</v>
      </c>
      <c r="E9" s="131" t="s">
        <v>718</v>
      </c>
      <c r="F9" s="46" t="s">
        <v>26</v>
      </c>
      <c r="G9" s="46" t="s">
        <v>416</v>
      </c>
      <c r="H9" s="116" t="s">
        <v>600</v>
      </c>
      <c r="I9" s="53">
        <v>6830.0190000000002</v>
      </c>
      <c r="J9" s="53"/>
      <c r="K9" s="133">
        <v>116866</v>
      </c>
      <c r="L9" s="154">
        <f t="shared" ref="L9:L47" si="0">(K9/$K$48)*100</f>
        <v>1.9283415183812533</v>
      </c>
      <c r="M9" s="25">
        <f t="shared" ref="M9:M17" si="1">(K9/SUM(K$8:K$17)*100)</f>
        <v>3.7338358385107853</v>
      </c>
      <c r="N9" s="275"/>
      <c r="O9" s="176"/>
      <c r="P9" s="160">
        <f t="shared" ref="P9:P17" si="2">(M9*5.9)/100</f>
        <v>0.22029631447213635</v>
      </c>
      <c r="Q9" s="25">
        <f t="shared" ref="Q9:Q47" si="3">(P9/32.065)*1000</f>
        <v>6.8703045211955827</v>
      </c>
      <c r="R9" s="25"/>
      <c r="S9" s="131">
        <v>6</v>
      </c>
      <c r="T9" s="131">
        <v>1</v>
      </c>
      <c r="U9" s="131">
        <f>SUM(S9:T9)</f>
        <v>7</v>
      </c>
      <c r="V9" s="104"/>
      <c r="W9" s="113">
        <f t="shared" ref="W9:W47" si="4">(Q9/U9)</f>
        <v>0.98147207445651186</v>
      </c>
      <c r="X9" s="113">
        <f t="shared" ref="X9:X47" si="5">(W9*I9)/1000</f>
        <v>6.7034729165073905</v>
      </c>
      <c r="Y9" s="209">
        <f t="shared" ref="Y9:Y47" si="6">(X9*100)/$X$48</f>
        <v>0.86928278965417327</v>
      </c>
      <c r="Z9" s="161"/>
      <c r="AA9" s="115" t="s">
        <v>719</v>
      </c>
    </row>
    <row r="10" spans="2:40" ht="16" customHeight="1">
      <c r="B10" s="225" t="s">
        <v>724</v>
      </c>
      <c r="D10" s="131">
        <v>3</v>
      </c>
      <c r="E10" s="131" t="s">
        <v>492</v>
      </c>
      <c r="F10" s="96" t="s">
        <v>601</v>
      </c>
      <c r="G10" s="131" t="s">
        <v>416</v>
      </c>
      <c r="H10" s="116" t="s">
        <v>600</v>
      </c>
      <c r="I10" s="53">
        <v>6864.0194000000001</v>
      </c>
      <c r="J10" s="53"/>
      <c r="K10" s="133">
        <v>276271</v>
      </c>
      <c r="L10" s="154">
        <f t="shared" si="0"/>
        <v>4.5585956533526195</v>
      </c>
      <c r="M10" s="25">
        <f t="shared" si="1"/>
        <v>8.8267807655024821</v>
      </c>
      <c r="N10" s="275"/>
      <c r="O10" s="176"/>
      <c r="P10" s="160">
        <f t="shared" si="2"/>
        <v>0.52078006516464648</v>
      </c>
      <c r="Q10" s="25">
        <f t="shared" si="3"/>
        <v>16.241386719620973</v>
      </c>
      <c r="R10" s="25"/>
      <c r="S10" s="131">
        <v>8</v>
      </c>
      <c r="T10" s="131">
        <v>0</v>
      </c>
      <c r="U10" s="131">
        <f t="shared" ref="U10:U47" si="7">SUM(S10:T10)</f>
        <v>8</v>
      </c>
      <c r="V10" s="104"/>
      <c r="W10" s="113">
        <f t="shared" si="4"/>
        <v>2.0301733399526216</v>
      </c>
      <c r="X10" s="113">
        <f t="shared" si="5"/>
        <v>13.93514919079759</v>
      </c>
      <c r="Y10" s="209">
        <f t="shared" si="6"/>
        <v>1.8070611328933337</v>
      </c>
      <c r="Z10" s="161"/>
      <c r="AA10" s="130" t="s">
        <v>602</v>
      </c>
    </row>
    <row r="11" spans="2:40" ht="16" customHeight="1">
      <c r="B11" s="225" t="s">
        <v>725</v>
      </c>
      <c r="D11" s="131">
        <v>4</v>
      </c>
      <c r="E11" s="131" t="s">
        <v>492</v>
      </c>
      <c r="F11" s="96" t="s">
        <v>601</v>
      </c>
      <c r="G11" s="131" t="s">
        <v>416</v>
      </c>
      <c r="H11" s="116" t="s">
        <v>600</v>
      </c>
      <c r="I11" s="53">
        <v>6880.0214999999998</v>
      </c>
      <c r="J11" s="53"/>
      <c r="K11" s="135">
        <v>66756</v>
      </c>
      <c r="L11" s="154">
        <f t="shared" si="0"/>
        <v>1.1015039994614253</v>
      </c>
      <c r="M11" s="25">
        <f t="shared" si="1"/>
        <v>2.1328354289153899</v>
      </c>
      <c r="N11" s="275"/>
      <c r="O11" s="176"/>
      <c r="P11" s="160">
        <f t="shared" si="2"/>
        <v>0.12583729030600802</v>
      </c>
      <c r="Q11" s="25">
        <f t="shared" si="3"/>
        <v>3.9244437956029321</v>
      </c>
      <c r="R11" s="25"/>
      <c r="S11" s="131">
        <v>8</v>
      </c>
      <c r="T11" s="131">
        <v>0</v>
      </c>
      <c r="U11" s="131">
        <f t="shared" si="7"/>
        <v>8</v>
      </c>
      <c r="V11" s="104"/>
      <c r="W11" s="113">
        <f t="shared" si="4"/>
        <v>0.49055547445036651</v>
      </c>
      <c r="X11" s="113">
        <f t="shared" si="5"/>
        <v>3.3750322111612223</v>
      </c>
      <c r="Y11" s="209">
        <f t="shared" si="6"/>
        <v>0.4376623061258676</v>
      </c>
      <c r="Z11" s="161"/>
      <c r="AA11" s="130" t="s">
        <v>603</v>
      </c>
    </row>
    <row r="12" spans="2:40" ht="16" customHeight="1">
      <c r="B12" s="225" t="s">
        <v>726</v>
      </c>
      <c r="D12" s="131">
        <v>5</v>
      </c>
      <c r="E12" s="134" t="s">
        <v>41</v>
      </c>
      <c r="F12" s="96" t="s">
        <v>686</v>
      </c>
      <c r="G12" s="131" t="s">
        <v>687</v>
      </c>
      <c r="H12" s="116" t="s">
        <v>688</v>
      </c>
      <c r="I12" s="53">
        <v>6919.9892</v>
      </c>
      <c r="J12" s="53"/>
      <c r="K12" s="135">
        <v>35391</v>
      </c>
      <c r="L12" s="154">
        <f t="shared" si="0"/>
        <v>0.58396740435225758</v>
      </c>
      <c r="M12" s="25">
        <f t="shared" si="1"/>
        <v>1.1307324984232814</v>
      </c>
      <c r="N12" s="275"/>
      <c r="O12" s="176"/>
      <c r="P12" s="160">
        <f t="shared" si="2"/>
        <v>6.6713217406973599E-2</v>
      </c>
      <c r="Q12" s="25">
        <f t="shared" si="3"/>
        <v>2.0805619026032622</v>
      </c>
      <c r="R12" s="25"/>
      <c r="S12" s="131">
        <v>6</v>
      </c>
      <c r="T12" s="131">
        <v>0</v>
      </c>
      <c r="U12" s="131">
        <f t="shared" si="7"/>
        <v>6</v>
      </c>
      <c r="V12" s="104"/>
      <c r="W12" s="113">
        <f t="shared" si="4"/>
        <v>0.34676031710054372</v>
      </c>
      <c r="X12" s="113">
        <f t="shared" si="5"/>
        <v>2.3995776493243381</v>
      </c>
      <c r="Y12" s="209">
        <f t="shared" si="6"/>
        <v>0.31116878951802424</v>
      </c>
      <c r="Z12" s="161"/>
      <c r="AA12" s="130" t="s">
        <v>689</v>
      </c>
    </row>
    <row r="13" spans="2:40" ht="16" customHeight="1">
      <c r="B13" s="225" t="s">
        <v>727</v>
      </c>
      <c r="D13" s="131">
        <v>6</v>
      </c>
      <c r="E13" s="134" t="s">
        <v>41</v>
      </c>
      <c r="F13" s="96" t="s">
        <v>686</v>
      </c>
      <c r="G13" s="131" t="s">
        <v>687</v>
      </c>
      <c r="H13" s="116" t="s">
        <v>688</v>
      </c>
      <c r="I13" s="53">
        <v>6710.9372000000003</v>
      </c>
      <c r="J13" s="53"/>
      <c r="K13" s="135">
        <v>15084</v>
      </c>
      <c r="L13" s="154">
        <f t="shared" si="0"/>
        <v>0.24889277859482503</v>
      </c>
      <c r="M13" s="25">
        <f t="shared" si="1"/>
        <v>0.48192955853795533</v>
      </c>
      <c r="N13" s="275"/>
      <c r="O13" s="176"/>
      <c r="P13" s="160">
        <f t="shared" si="2"/>
        <v>2.8433843953739366E-2</v>
      </c>
      <c r="Q13" s="25">
        <f t="shared" si="3"/>
        <v>0.88675639961763186</v>
      </c>
      <c r="R13" s="25"/>
      <c r="S13" s="131">
        <v>6</v>
      </c>
      <c r="T13" s="131">
        <v>0</v>
      </c>
      <c r="U13" s="131">
        <f t="shared" si="7"/>
        <v>6</v>
      </c>
      <c r="V13" s="104"/>
      <c r="W13" s="113">
        <f t="shared" si="4"/>
        <v>0.14779273326960532</v>
      </c>
      <c r="X13" s="113">
        <f t="shared" si="5"/>
        <v>0.99182775158867198</v>
      </c>
      <c r="Y13" s="209">
        <f t="shared" si="6"/>
        <v>0.12861673426535378</v>
      </c>
      <c r="Z13" s="161"/>
      <c r="AA13" s="130" t="s">
        <v>690</v>
      </c>
    </row>
    <row r="14" spans="2:40" ht="16" customHeight="1">
      <c r="B14" s="225" t="s">
        <v>728</v>
      </c>
      <c r="D14" s="131">
        <v>7</v>
      </c>
      <c r="E14" s="131" t="s">
        <v>492</v>
      </c>
      <c r="F14" s="96" t="s">
        <v>601</v>
      </c>
      <c r="G14" s="131" t="s">
        <v>416</v>
      </c>
      <c r="H14" s="116" t="s">
        <v>600</v>
      </c>
      <c r="I14" s="53">
        <v>6902.9853000000003</v>
      </c>
      <c r="J14" s="53"/>
      <c r="K14" s="135">
        <v>80887</v>
      </c>
      <c r="L14" s="154">
        <f t="shared" si="0"/>
        <v>1.3346718497878289</v>
      </c>
      <c r="M14" s="25">
        <f t="shared" si="1"/>
        <v>2.5843169054269155</v>
      </c>
      <c r="N14" s="275"/>
      <c r="O14" s="176"/>
      <c r="P14" s="160">
        <f t="shared" si="2"/>
        <v>0.15247469742018802</v>
      </c>
      <c r="Q14" s="25">
        <f t="shared" si="3"/>
        <v>4.7551753444624367</v>
      </c>
      <c r="R14" s="25"/>
      <c r="S14" s="131">
        <v>8</v>
      </c>
      <c r="T14" s="131">
        <v>0</v>
      </c>
      <c r="U14" s="131">
        <f t="shared" si="7"/>
        <v>8</v>
      </c>
      <c r="V14" s="104"/>
      <c r="W14" s="113">
        <f t="shared" si="4"/>
        <v>0.59439691805780459</v>
      </c>
      <c r="X14" s="113">
        <f t="shared" si="5"/>
        <v>4.1031131877183293</v>
      </c>
      <c r="Y14" s="209">
        <f t="shared" si="6"/>
        <v>0.53207728628296669</v>
      </c>
      <c r="Z14" s="161"/>
      <c r="AA14" s="130" t="s">
        <v>691</v>
      </c>
    </row>
    <row r="15" spans="2:40" ht="16" customHeight="1">
      <c r="B15" s="225" t="s">
        <v>729</v>
      </c>
      <c r="D15" s="131">
        <v>9</v>
      </c>
      <c r="E15" s="131" t="s">
        <v>492</v>
      </c>
      <c r="F15" s="96" t="s">
        <v>601</v>
      </c>
      <c r="G15" s="131" t="s">
        <v>416</v>
      </c>
      <c r="H15" s="116" t="s">
        <v>600</v>
      </c>
      <c r="I15" s="53">
        <v>6935.0159999999996</v>
      </c>
      <c r="J15" s="53"/>
      <c r="K15" s="133">
        <v>11245</v>
      </c>
      <c r="L15" s="154">
        <f t="shared" si="0"/>
        <v>0.18554755338761653</v>
      </c>
      <c r="M15" s="25">
        <f t="shared" si="1"/>
        <v>0.3592745880243508</v>
      </c>
      <c r="N15" s="275"/>
      <c r="O15" s="176"/>
      <c r="P15" s="160">
        <f t="shared" si="2"/>
        <v>2.11972006934367E-2</v>
      </c>
      <c r="Q15" s="25">
        <f t="shared" si="3"/>
        <v>0.66106972379344142</v>
      </c>
      <c r="R15" s="25"/>
      <c r="S15" s="131">
        <v>8</v>
      </c>
      <c r="T15" s="131">
        <v>0</v>
      </c>
      <c r="U15" s="131">
        <f t="shared" si="7"/>
        <v>8</v>
      </c>
      <c r="V15" s="104"/>
      <c r="W15" s="113">
        <f t="shared" si="4"/>
        <v>8.2633715474180178E-2</v>
      </c>
      <c r="X15" s="113">
        <f t="shared" si="5"/>
        <v>0.57306613895288705</v>
      </c>
      <c r="Y15" s="209">
        <f t="shared" si="6"/>
        <v>7.4313201251040295E-2</v>
      </c>
      <c r="Z15" s="161"/>
      <c r="AA15" s="130" t="s">
        <v>514</v>
      </c>
    </row>
    <row r="16" spans="2:40" ht="16" customHeight="1">
      <c r="B16" s="225" t="s">
        <v>730</v>
      </c>
      <c r="D16" s="131">
        <v>10</v>
      </c>
      <c r="E16" s="133" t="s">
        <v>41</v>
      </c>
      <c r="F16" s="131" t="s">
        <v>42</v>
      </c>
      <c r="G16" s="131" t="s">
        <v>599</v>
      </c>
      <c r="H16" s="116" t="s">
        <v>600</v>
      </c>
      <c r="I16" s="53">
        <v>7021.0559999999996</v>
      </c>
      <c r="J16" s="53"/>
      <c r="K16" s="133">
        <v>7234</v>
      </c>
      <c r="L16" s="154">
        <f t="shared" si="0"/>
        <v>0.11936425088537286</v>
      </c>
      <c r="M16" s="25">
        <f t="shared" si="1"/>
        <v>0.23112426587533602</v>
      </c>
      <c r="N16" s="275"/>
      <c r="O16" s="176"/>
      <c r="P16" s="160">
        <f t="shared" si="2"/>
        <v>1.3636331686644828E-2</v>
      </c>
      <c r="Q16" s="25">
        <f t="shared" si="3"/>
        <v>0.42527153240744825</v>
      </c>
      <c r="R16" s="25"/>
      <c r="S16" s="131">
        <v>6</v>
      </c>
      <c r="T16" s="131">
        <v>1</v>
      </c>
      <c r="U16" s="131">
        <f t="shared" si="7"/>
        <v>7</v>
      </c>
      <c r="V16" s="104"/>
      <c r="W16" s="113">
        <f t="shared" si="4"/>
        <v>6.0753076058206894E-2</v>
      </c>
      <c r="X16" s="113">
        <f t="shared" si="5"/>
        <v>0.42655074917692987</v>
      </c>
      <c r="Y16" s="209">
        <f t="shared" si="6"/>
        <v>5.531360084420061E-2</v>
      </c>
      <c r="Z16" s="161"/>
      <c r="AA16" s="130" t="s">
        <v>692</v>
      </c>
    </row>
    <row r="17" spans="2:27" ht="16" customHeight="1">
      <c r="B17" s="225" t="s">
        <v>731</v>
      </c>
      <c r="D17" s="131">
        <v>11</v>
      </c>
      <c r="E17" s="131" t="s">
        <v>41</v>
      </c>
      <c r="F17" s="96" t="s">
        <v>598</v>
      </c>
      <c r="G17" s="131" t="s">
        <v>599</v>
      </c>
      <c r="H17" s="116" t="s">
        <v>600</v>
      </c>
      <c r="I17" s="53">
        <v>6677.9602999999997</v>
      </c>
      <c r="J17" s="53"/>
      <c r="K17" s="133">
        <v>7483</v>
      </c>
      <c r="L17" s="154">
        <f t="shared" si="0"/>
        <v>0.1234728627834179</v>
      </c>
      <c r="M17" s="25">
        <f t="shared" si="1"/>
        <v>0.2390797458591567</v>
      </c>
      <c r="N17" s="275"/>
      <c r="O17" s="176"/>
      <c r="P17" s="160">
        <f t="shared" si="2"/>
        <v>1.4105705005690245E-2</v>
      </c>
      <c r="Q17" s="25">
        <f t="shared" si="3"/>
        <v>0.4399097148195929</v>
      </c>
      <c r="R17" s="25"/>
      <c r="S17" s="131">
        <v>6</v>
      </c>
      <c r="T17" s="131">
        <v>1</v>
      </c>
      <c r="U17" s="131">
        <f t="shared" si="7"/>
        <v>7</v>
      </c>
      <c r="V17" s="104"/>
      <c r="W17" s="113">
        <f t="shared" si="4"/>
        <v>6.2844244974227553E-2</v>
      </c>
      <c r="X17" s="113">
        <f t="shared" si="5"/>
        <v>0.41967137302136609</v>
      </c>
      <c r="Y17" s="209">
        <f t="shared" si="6"/>
        <v>5.4421507541210938E-2</v>
      </c>
      <c r="Z17" s="161"/>
      <c r="AA17" s="130" t="s">
        <v>693</v>
      </c>
    </row>
    <row r="18" spans="2:27" ht="16" customHeight="1">
      <c r="B18" s="225" t="s">
        <v>732</v>
      </c>
      <c r="D18" s="131">
        <v>12</v>
      </c>
      <c r="E18" s="131" t="s">
        <v>41</v>
      </c>
      <c r="F18" s="96" t="s">
        <v>598</v>
      </c>
      <c r="G18" s="131" t="s">
        <v>599</v>
      </c>
      <c r="H18" s="116" t="s">
        <v>600</v>
      </c>
      <c r="I18" s="53">
        <v>6660.8986999999997</v>
      </c>
      <c r="J18" s="53"/>
      <c r="K18" s="133">
        <v>85461</v>
      </c>
      <c r="L18" s="154">
        <f t="shared" si="0"/>
        <v>1.4101449052964958</v>
      </c>
      <c r="M18" s="160">
        <f>(K18/SUM(K$18:K$19)*100)</f>
        <v>67.210626484420459</v>
      </c>
      <c r="N18" s="275">
        <v>0.5462297110186819</v>
      </c>
      <c r="O18" s="176"/>
      <c r="P18" s="25">
        <f>(M18*0.55)/100</f>
        <v>0.36965844566431261</v>
      </c>
      <c r="Q18" s="25">
        <f t="shared" si="3"/>
        <v>11.528409345526669</v>
      </c>
      <c r="R18" s="25"/>
      <c r="S18" s="131">
        <v>6</v>
      </c>
      <c r="T18" s="131">
        <v>1</v>
      </c>
      <c r="U18" s="131">
        <f t="shared" si="7"/>
        <v>7</v>
      </c>
      <c r="V18" s="104"/>
      <c r="W18" s="113">
        <f t="shared" si="4"/>
        <v>1.6469156207895241</v>
      </c>
      <c r="X18" s="113">
        <f t="shared" si="5"/>
        <v>10.969938117526633</v>
      </c>
      <c r="Y18" s="209">
        <f t="shared" si="6"/>
        <v>1.4225429904631566</v>
      </c>
      <c r="Z18" s="161"/>
      <c r="AA18" s="130" t="s">
        <v>43</v>
      </c>
    </row>
    <row r="19" spans="2:27" ht="16" customHeight="1">
      <c r="B19" s="224"/>
      <c r="D19" s="131">
        <v>13</v>
      </c>
      <c r="E19" s="131" t="s">
        <v>492</v>
      </c>
      <c r="F19" s="96" t="s">
        <v>564</v>
      </c>
      <c r="G19" s="131" t="s">
        <v>416</v>
      </c>
      <c r="H19" s="116" t="s">
        <v>600</v>
      </c>
      <c r="I19" s="53">
        <v>6857.0003999999999</v>
      </c>
      <c r="J19" s="53"/>
      <c r="K19" s="133">
        <v>41693</v>
      </c>
      <c r="L19" s="154">
        <f t="shared" si="0"/>
        <v>0.6879532364063935</v>
      </c>
      <c r="M19" s="160">
        <f>(K19/SUM(K$18:K$19)*100)</f>
        <v>32.789373515579534</v>
      </c>
      <c r="N19" s="275"/>
      <c r="O19" s="176"/>
      <c r="P19" s="25">
        <f>(M19*0.55)/100</f>
        <v>0.18034155433568747</v>
      </c>
      <c r="Q19" s="25">
        <f t="shared" si="3"/>
        <v>5.6242493165659591</v>
      </c>
      <c r="R19" s="25"/>
      <c r="S19" s="131">
        <v>8</v>
      </c>
      <c r="T19" s="131">
        <v>0</v>
      </c>
      <c r="U19" s="131">
        <f t="shared" si="7"/>
        <v>8</v>
      </c>
      <c r="V19" s="104"/>
      <c r="W19" s="113">
        <f t="shared" si="4"/>
        <v>0.70303116457074488</v>
      </c>
      <c r="X19" s="113">
        <f t="shared" si="5"/>
        <v>4.8206849766740634</v>
      </c>
      <c r="Y19" s="209">
        <f t="shared" si="6"/>
        <v>0.62512947195593749</v>
      </c>
      <c r="Z19" s="161"/>
      <c r="AA19" s="130" t="s">
        <v>602</v>
      </c>
    </row>
    <row r="20" spans="2:27" ht="15" customHeight="1">
      <c r="D20" s="131">
        <v>14</v>
      </c>
      <c r="E20" s="131" t="s">
        <v>41</v>
      </c>
      <c r="F20" s="96" t="s">
        <v>694</v>
      </c>
      <c r="G20" s="131" t="s">
        <v>687</v>
      </c>
      <c r="H20" s="116" t="s">
        <v>688</v>
      </c>
      <c r="I20" s="53">
        <v>6812.0056000000004</v>
      </c>
      <c r="J20" s="53"/>
      <c r="K20" s="133">
        <v>6296</v>
      </c>
      <c r="L20" s="154">
        <f t="shared" si="0"/>
        <v>0.10388682935779756</v>
      </c>
      <c r="M20" s="133">
        <v>100</v>
      </c>
      <c r="N20" s="160">
        <v>0.82597512582447563</v>
      </c>
      <c r="O20" s="147"/>
      <c r="P20" s="160">
        <f>(M20*0.83)/100</f>
        <v>0.83</v>
      </c>
      <c r="Q20" s="25">
        <f t="shared" si="3"/>
        <v>25.884921253703414</v>
      </c>
      <c r="R20" s="160"/>
      <c r="S20" s="131">
        <v>6</v>
      </c>
      <c r="T20" s="131">
        <v>1</v>
      </c>
      <c r="U20" s="131">
        <f t="shared" si="7"/>
        <v>7</v>
      </c>
      <c r="V20" s="104"/>
      <c r="W20" s="113">
        <f t="shared" si="4"/>
        <v>3.697845893386202</v>
      </c>
      <c r="X20" s="113">
        <f t="shared" si="5"/>
        <v>25.189746933683811</v>
      </c>
      <c r="Y20" s="209">
        <f t="shared" si="6"/>
        <v>3.2665177823384104</v>
      </c>
      <c r="Z20" s="161"/>
      <c r="AA20" s="130" t="s">
        <v>717</v>
      </c>
    </row>
    <row r="21" spans="2:27">
      <c r="D21" s="131">
        <v>15</v>
      </c>
      <c r="E21" s="131" t="s">
        <v>492</v>
      </c>
      <c r="F21" s="96" t="s">
        <v>695</v>
      </c>
      <c r="G21" s="131" t="s">
        <v>696</v>
      </c>
      <c r="H21" s="116" t="s">
        <v>697</v>
      </c>
      <c r="I21" s="53">
        <v>6828.9912000000004</v>
      </c>
      <c r="J21" s="53"/>
      <c r="K21" s="135">
        <v>2085</v>
      </c>
      <c r="L21" s="154">
        <f t="shared" si="0"/>
        <v>3.4403436977606082E-2</v>
      </c>
      <c r="M21" s="133">
        <v>100</v>
      </c>
      <c r="N21" s="160">
        <v>5.899310839784401</v>
      </c>
      <c r="O21" s="147"/>
      <c r="P21" s="160">
        <f>(M21*5.9)/100</f>
        <v>5.9</v>
      </c>
      <c r="Q21" s="25">
        <f t="shared" si="3"/>
        <v>184.00124746608455</v>
      </c>
      <c r="R21" s="160"/>
      <c r="S21" s="131">
        <v>8</v>
      </c>
      <c r="T21" s="131">
        <v>0</v>
      </c>
      <c r="U21" s="131">
        <f t="shared" si="7"/>
        <v>8</v>
      </c>
      <c r="V21" s="217"/>
      <c r="W21" s="113">
        <f t="shared" si="4"/>
        <v>23.000155933260569</v>
      </c>
      <c r="X21" s="113">
        <f t="shared" si="5"/>
        <v>157.06786246686423</v>
      </c>
      <c r="Y21" s="209">
        <f t="shared" si="6"/>
        <v>20.368007949132021</v>
      </c>
      <c r="Z21" s="162"/>
      <c r="AA21" s="130" t="s">
        <v>698</v>
      </c>
    </row>
    <row r="22" spans="2:27">
      <c r="D22" s="131">
        <v>16</v>
      </c>
      <c r="E22" s="131" t="s">
        <v>492</v>
      </c>
      <c r="F22" s="96" t="s">
        <v>699</v>
      </c>
      <c r="G22" s="131" t="s">
        <v>700</v>
      </c>
      <c r="H22" s="116" t="s">
        <v>608</v>
      </c>
      <c r="I22" s="53">
        <v>6821.9912000000004</v>
      </c>
      <c r="J22" s="53"/>
      <c r="K22" s="133">
        <v>27100</v>
      </c>
      <c r="L22" s="154">
        <f t="shared" si="0"/>
        <v>0.4471621784619304</v>
      </c>
      <c r="M22" s="133">
        <v>100</v>
      </c>
      <c r="N22" s="160">
        <v>2.2253629243976865</v>
      </c>
      <c r="O22" s="147"/>
      <c r="P22" s="160">
        <f>(M22*2.23)/100</f>
        <v>2.23</v>
      </c>
      <c r="Q22" s="25">
        <f t="shared" si="3"/>
        <v>69.54623421175738</v>
      </c>
      <c r="R22" s="160"/>
      <c r="S22" s="131">
        <v>8</v>
      </c>
      <c r="T22" s="131">
        <v>1</v>
      </c>
      <c r="U22" s="131">
        <f t="shared" si="7"/>
        <v>9</v>
      </c>
      <c r="V22" s="217"/>
      <c r="W22" s="113">
        <f t="shared" si="4"/>
        <v>7.727359356861931</v>
      </c>
      <c r="X22" s="113">
        <f t="shared" si="5"/>
        <v>52.715977531749758</v>
      </c>
      <c r="Y22" s="209">
        <f t="shared" si="6"/>
        <v>6.8360225481483274</v>
      </c>
      <c r="Z22" s="162"/>
      <c r="AA22" s="130" t="s">
        <v>701</v>
      </c>
    </row>
    <row r="23" spans="2:27" ht="15" customHeight="1">
      <c r="D23" s="131">
        <v>17</v>
      </c>
      <c r="E23" s="131" t="s">
        <v>492</v>
      </c>
      <c r="F23" s="96" t="s">
        <v>672</v>
      </c>
      <c r="G23" s="131" t="s">
        <v>702</v>
      </c>
      <c r="H23" s="116" t="s">
        <v>628</v>
      </c>
      <c r="I23" s="53">
        <v>7329.1235999999999</v>
      </c>
      <c r="J23" s="53"/>
      <c r="K23" s="133">
        <v>194189</v>
      </c>
      <c r="L23" s="154">
        <f t="shared" si="0"/>
        <v>3.2042057665440522</v>
      </c>
      <c r="M23" s="160">
        <f>(K23/SUM(K$23:K$25)*100)</f>
        <v>66.755013784900555</v>
      </c>
      <c r="N23" s="275">
        <v>1.5695402419777076</v>
      </c>
      <c r="O23" s="176"/>
      <c r="P23" s="25">
        <f>(M23*1.57)/100</f>
        <v>1.0480537164229389</v>
      </c>
      <c r="Q23" s="25">
        <f t="shared" si="3"/>
        <v>32.685286649709617</v>
      </c>
      <c r="R23" s="25"/>
      <c r="S23" s="131">
        <v>8</v>
      </c>
      <c r="T23" s="131">
        <v>2</v>
      </c>
      <c r="U23" s="131">
        <f t="shared" si="7"/>
        <v>10</v>
      </c>
      <c r="V23" s="104"/>
      <c r="W23" s="113">
        <f t="shared" si="4"/>
        <v>3.2685286649709617</v>
      </c>
      <c r="X23" s="113">
        <f t="shared" si="5"/>
        <v>23.955450575715169</v>
      </c>
      <c r="Y23" s="209">
        <f t="shared" si="6"/>
        <v>3.1064585720337328</v>
      </c>
      <c r="Z23" s="161"/>
      <c r="AA23" s="130" t="s">
        <v>419</v>
      </c>
    </row>
    <row r="24" spans="2:27">
      <c r="D24" s="131">
        <v>18</v>
      </c>
      <c r="E24" s="133" t="s">
        <v>492</v>
      </c>
      <c r="F24" s="131" t="s">
        <v>622</v>
      </c>
      <c r="G24" s="131" t="s">
        <v>623</v>
      </c>
      <c r="H24" s="116" t="s">
        <v>624</v>
      </c>
      <c r="I24" s="53">
        <v>7345.116</v>
      </c>
      <c r="J24" s="53"/>
      <c r="K24" s="133">
        <v>69231</v>
      </c>
      <c r="L24" s="154">
        <f t="shared" si="0"/>
        <v>1.1423426117010296</v>
      </c>
      <c r="M24" s="160">
        <f t="shared" ref="M24:M25" si="8">(K24/SUM(K$23:K$25)*100)</f>
        <v>23.79906358929934</v>
      </c>
      <c r="N24" s="275"/>
      <c r="O24" s="176"/>
      <c r="P24" s="25">
        <f t="shared" ref="P24:P25" si="9">(M24*1.57)/100</f>
        <v>0.37364529835199967</v>
      </c>
      <c r="Q24" s="25">
        <f t="shared" si="3"/>
        <v>11.652745933322928</v>
      </c>
      <c r="R24" s="25"/>
      <c r="S24" s="131">
        <v>10</v>
      </c>
      <c r="T24" s="131">
        <v>0</v>
      </c>
      <c r="U24" s="131">
        <f t="shared" si="7"/>
        <v>10</v>
      </c>
      <c r="V24" s="104"/>
      <c r="W24" s="113">
        <f t="shared" si="4"/>
        <v>1.1652745933322928</v>
      </c>
      <c r="X24" s="113">
        <f t="shared" si="5"/>
        <v>8.5590770598785166</v>
      </c>
      <c r="Y24" s="209">
        <f t="shared" si="6"/>
        <v>1.1099110082408927</v>
      </c>
      <c r="Z24" s="161"/>
      <c r="AA24" s="130" t="s">
        <v>625</v>
      </c>
    </row>
    <row r="25" spans="2:27">
      <c r="D25" s="131">
        <v>19</v>
      </c>
      <c r="E25" s="131" t="s">
        <v>492</v>
      </c>
      <c r="F25" s="131" t="s">
        <v>672</v>
      </c>
      <c r="G25" s="131" t="s">
        <v>627</v>
      </c>
      <c r="H25" s="116" t="s">
        <v>628</v>
      </c>
      <c r="I25" s="53">
        <v>7361.1202999999996</v>
      </c>
      <c r="J25" s="53"/>
      <c r="K25" s="133">
        <v>27478</v>
      </c>
      <c r="L25" s="154">
        <f t="shared" si="0"/>
        <v>0.45339934833125178</v>
      </c>
      <c r="M25" s="160">
        <f t="shared" si="8"/>
        <v>9.4459226258001081</v>
      </c>
      <c r="N25" s="275"/>
      <c r="O25" s="176"/>
      <c r="P25" s="25">
        <f t="shared" si="9"/>
        <v>0.14830098522506169</v>
      </c>
      <c r="Q25" s="25">
        <f t="shared" si="3"/>
        <v>4.6250112342136811</v>
      </c>
      <c r="R25" s="25"/>
      <c r="S25" s="131">
        <v>8</v>
      </c>
      <c r="T25" s="131">
        <v>2</v>
      </c>
      <c r="U25" s="131">
        <f t="shared" si="7"/>
        <v>10</v>
      </c>
      <c r="V25" s="104"/>
      <c r="W25" s="113">
        <f t="shared" si="4"/>
        <v>0.46250112342136812</v>
      </c>
      <c r="X25" s="113">
        <f t="shared" si="5"/>
        <v>3.4045264083898381</v>
      </c>
      <c r="Y25" s="209">
        <f t="shared" si="6"/>
        <v>0.44148700988238848</v>
      </c>
      <c r="Z25" s="161"/>
      <c r="AA25" s="130" t="s">
        <v>629</v>
      </c>
    </row>
    <row r="26" spans="2:27">
      <c r="D26" s="131">
        <v>20</v>
      </c>
      <c r="E26" s="133" t="s">
        <v>41</v>
      </c>
      <c r="F26" s="131" t="s">
        <v>633</v>
      </c>
      <c r="G26" s="131" t="s">
        <v>634</v>
      </c>
      <c r="H26" s="116" t="s">
        <v>600</v>
      </c>
      <c r="I26" s="53">
        <v>6342.9090999999999</v>
      </c>
      <c r="J26" s="53"/>
      <c r="K26" s="133">
        <v>55148</v>
      </c>
      <c r="L26" s="154">
        <f t="shared" si="0"/>
        <v>0.90996678294533351</v>
      </c>
      <c r="M26" s="160">
        <f>(K26/SUM(K$26:K$29)*100)</f>
        <v>68.408256425523476</v>
      </c>
      <c r="N26" s="275">
        <v>0.68113954374805352</v>
      </c>
      <c r="O26" s="176"/>
      <c r="P26" s="25">
        <f>(M26*0.68)/100</f>
        <v>0.4651761436935597</v>
      </c>
      <c r="Q26" s="25">
        <f t="shared" si="3"/>
        <v>14.507286564589419</v>
      </c>
      <c r="R26" s="25"/>
      <c r="S26" s="131">
        <v>6</v>
      </c>
      <c r="T26" s="131">
        <v>0</v>
      </c>
      <c r="U26" s="131">
        <f t="shared" si="7"/>
        <v>6</v>
      </c>
      <c r="V26" s="104"/>
      <c r="W26" s="113">
        <f t="shared" si="4"/>
        <v>2.4178810940982367</v>
      </c>
      <c r="X26" s="113">
        <f t="shared" si="5"/>
        <v>15.336399994473661</v>
      </c>
      <c r="Y26" s="209">
        <f t="shared" si="6"/>
        <v>1.9887704084876514</v>
      </c>
      <c r="Z26" s="161"/>
      <c r="AA26" s="130" t="s">
        <v>49</v>
      </c>
    </row>
    <row r="27" spans="2:27">
      <c r="D27" s="131">
        <v>21</v>
      </c>
      <c r="E27" s="133" t="s">
        <v>41</v>
      </c>
      <c r="F27" s="131" t="s">
        <v>633</v>
      </c>
      <c r="G27" s="131" t="s">
        <v>634</v>
      </c>
      <c r="H27" s="116" t="s">
        <v>600</v>
      </c>
      <c r="I27" s="53">
        <v>6367.6728999999996</v>
      </c>
      <c r="J27" s="53"/>
      <c r="K27" s="133">
        <v>10730</v>
      </c>
      <c r="L27" s="154">
        <f t="shared" si="0"/>
        <v>0.17704982195190086</v>
      </c>
      <c r="M27" s="160">
        <f t="shared" ref="M27:M29" si="10">(K27/SUM(K$26:K$29)*100)</f>
        <v>13.31001290066488</v>
      </c>
      <c r="N27" s="275"/>
      <c r="O27" s="176"/>
      <c r="P27" s="25">
        <f t="shared" ref="P27:P29" si="11">(M27*0.68)/100</f>
        <v>9.050808772452118E-2</v>
      </c>
      <c r="Q27" s="25">
        <f t="shared" si="3"/>
        <v>2.8226442452680862</v>
      </c>
      <c r="R27" s="25"/>
      <c r="S27" s="131">
        <v>6</v>
      </c>
      <c r="T27" s="131">
        <v>0</v>
      </c>
      <c r="U27" s="131">
        <f t="shared" si="7"/>
        <v>6</v>
      </c>
      <c r="V27" s="104"/>
      <c r="W27" s="113">
        <f t="shared" si="4"/>
        <v>0.47044070754468104</v>
      </c>
      <c r="X27" s="113">
        <f t="shared" si="5"/>
        <v>2.9956125444890906</v>
      </c>
      <c r="Y27" s="209">
        <f t="shared" si="6"/>
        <v>0.38846049828649915</v>
      </c>
      <c r="Z27" s="161"/>
      <c r="AA27" s="130" t="s">
        <v>703</v>
      </c>
    </row>
    <row r="28" spans="2:27">
      <c r="D28" s="131">
        <v>22</v>
      </c>
      <c r="E28" s="133" t="s">
        <v>41</v>
      </c>
      <c r="F28" s="131" t="s">
        <v>633</v>
      </c>
      <c r="G28" s="131" t="s">
        <v>634</v>
      </c>
      <c r="H28" s="116" t="s">
        <v>600</v>
      </c>
      <c r="I28" s="53">
        <v>6339.7591000000002</v>
      </c>
      <c r="J28" s="53"/>
      <c r="K28" s="133">
        <v>11542</v>
      </c>
      <c r="L28" s="154">
        <f t="shared" si="0"/>
        <v>0.19044818685636902</v>
      </c>
      <c r="M28" s="160">
        <f t="shared" si="10"/>
        <v>14.317257120174656</v>
      </c>
      <c r="N28" s="275"/>
      <c r="O28" s="176"/>
      <c r="P28" s="25">
        <f t="shared" si="11"/>
        <v>9.735734841718767E-2</v>
      </c>
      <c r="Q28" s="25">
        <f t="shared" si="3"/>
        <v>3.036249755720807</v>
      </c>
      <c r="R28" s="25"/>
      <c r="S28" s="131">
        <v>6</v>
      </c>
      <c r="T28" s="131">
        <v>0</v>
      </c>
      <c r="U28" s="131">
        <f t="shared" si="7"/>
        <v>6</v>
      </c>
      <c r="V28" s="104"/>
      <c r="W28" s="113">
        <f t="shared" si="4"/>
        <v>0.5060416259534678</v>
      </c>
      <c r="X28" s="113">
        <f t="shared" si="5"/>
        <v>3.2081820031172938</v>
      </c>
      <c r="Y28" s="209">
        <f t="shared" si="6"/>
        <v>0.41602575800979441</v>
      </c>
      <c r="Z28" s="161"/>
      <c r="AA28" s="130" t="s">
        <v>49</v>
      </c>
    </row>
    <row r="29" spans="2:27">
      <c r="D29" s="131">
        <v>23</v>
      </c>
      <c r="E29" s="131" t="s">
        <v>41</v>
      </c>
      <c r="F29" s="131" t="s">
        <v>633</v>
      </c>
      <c r="G29" s="131" t="s">
        <v>634</v>
      </c>
      <c r="H29" s="116" t="s">
        <v>600</v>
      </c>
      <c r="I29" s="53">
        <v>6470.9624000000003</v>
      </c>
      <c r="J29" s="53"/>
      <c r="K29" s="133">
        <v>3196</v>
      </c>
      <c r="L29" s="154">
        <f t="shared" si="0"/>
        <v>5.2735436249606263E-2</v>
      </c>
      <c r="M29" s="160">
        <f t="shared" si="10"/>
        <v>3.9644735536369948</v>
      </c>
      <c r="N29" s="275"/>
      <c r="O29" s="176"/>
      <c r="P29" s="25">
        <f t="shared" si="11"/>
        <v>2.6958420164731565E-2</v>
      </c>
      <c r="Q29" s="25">
        <f t="shared" si="3"/>
        <v>0.8407428711907553</v>
      </c>
      <c r="R29" s="25"/>
      <c r="S29" s="131">
        <v>6</v>
      </c>
      <c r="T29" s="131">
        <v>0</v>
      </c>
      <c r="U29" s="131">
        <f t="shared" si="7"/>
        <v>6</v>
      </c>
      <c r="V29" s="104"/>
      <c r="W29" s="113">
        <f t="shared" si="4"/>
        <v>0.14012381186512587</v>
      </c>
      <c r="X29" s="113">
        <f t="shared" si="5"/>
        <v>0.90673591792390351</v>
      </c>
      <c r="Y29" s="209">
        <f t="shared" si="6"/>
        <v>0.1175823245696348</v>
      </c>
      <c r="Z29" s="161"/>
      <c r="AA29" s="130" t="s">
        <v>704</v>
      </c>
    </row>
    <row r="30" spans="2:27">
      <c r="D30" s="131">
        <v>24</v>
      </c>
      <c r="E30" s="131" t="s">
        <v>41</v>
      </c>
      <c r="F30" s="96" t="s">
        <v>705</v>
      </c>
      <c r="G30" s="131" t="s">
        <v>706</v>
      </c>
      <c r="H30" s="116" t="s">
        <v>600</v>
      </c>
      <c r="I30" s="53">
        <v>6389.8238000000001</v>
      </c>
      <c r="J30" s="53"/>
      <c r="K30" s="133">
        <v>1049200</v>
      </c>
      <c r="L30" s="154">
        <f t="shared" si="0"/>
        <v>17.312271499714292</v>
      </c>
      <c r="M30" s="160">
        <f>(K30/SUM(K$30:K$34)*100)</f>
        <v>90.183013412273553</v>
      </c>
      <c r="N30" s="275">
        <v>1.8309143398011245</v>
      </c>
      <c r="O30" s="176"/>
      <c r="P30" s="25">
        <f>(M30*1.83)/100</f>
        <v>1.650349145444606</v>
      </c>
      <c r="Q30" s="25">
        <f t="shared" si="3"/>
        <v>51.468864663795607</v>
      </c>
      <c r="R30" s="25"/>
      <c r="S30" s="131">
        <v>6</v>
      </c>
      <c r="T30" s="131">
        <v>0</v>
      </c>
      <c r="U30" s="131">
        <f t="shared" si="7"/>
        <v>6</v>
      </c>
      <c r="V30" s="104"/>
      <c r="W30" s="113">
        <f t="shared" si="4"/>
        <v>8.5781441106326017</v>
      </c>
      <c r="X30" s="113">
        <f t="shared" si="5"/>
        <v>54.812829397950033</v>
      </c>
      <c r="Y30" s="209">
        <f t="shared" si="6"/>
        <v>7.1079349228897204</v>
      </c>
      <c r="Z30" s="161"/>
      <c r="AA30" s="115" t="s">
        <v>707</v>
      </c>
    </row>
    <row r="31" spans="2:27">
      <c r="D31" s="131">
        <v>25</v>
      </c>
      <c r="E31" s="131" t="s">
        <v>41</v>
      </c>
      <c r="F31" s="96" t="s">
        <v>705</v>
      </c>
      <c r="G31" s="131" t="s">
        <v>706</v>
      </c>
      <c r="H31" s="116" t="s">
        <v>600</v>
      </c>
      <c r="I31" s="53">
        <v>6405.8139000000001</v>
      </c>
      <c r="J31" s="53"/>
      <c r="K31" s="133">
        <v>91437</v>
      </c>
      <c r="L31" s="154">
        <f t="shared" si="0"/>
        <v>1.5087515908495768</v>
      </c>
      <c r="M31" s="160">
        <f t="shared" ref="M31:M34" si="12">(K31/SUM(K$30:K$34)*100)</f>
        <v>7.8593825747026846</v>
      </c>
      <c r="N31" s="275"/>
      <c r="O31" s="176"/>
      <c r="P31" s="25">
        <f t="shared" ref="P31:P34" si="13">(M31*1.83)/100</f>
        <v>0.14382670111705914</v>
      </c>
      <c r="Q31" s="25">
        <f t="shared" si="3"/>
        <v>4.4854732922831486</v>
      </c>
      <c r="R31" s="25"/>
      <c r="S31" s="131">
        <v>6</v>
      </c>
      <c r="T31" s="131">
        <v>0</v>
      </c>
      <c r="U31" s="131">
        <f t="shared" si="7"/>
        <v>6</v>
      </c>
      <c r="V31" s="104"/>
      <c r="W31" s="113">
        <f t="shared" si="4"/>
        <v>0.74757888204719147</v>
      </c>
      <c r="X31" s="113">
        <f t="shared" si="5"/>
        <v>4.7888511939643594</v>
      </c>
      <c r="Y31" s="209">
        <f t="shared" si="6"/>
        <v>0.62100137898326468</v>
      </c>
      <c r="Z31" s="161"/>
      <c r="AA31" s="115" t="s">
        <v>708</v>
      </c>
    </row>
    <row r="32" spans="2:27">
      <c r="D32" s="131">
        <v>26</v>
      </c>
      <c r="E32" s="131" t="s">
        <v>41</v>
      </c>
      <c r="F32" s="131" t="s">
        <v>633</v>
      </c>
      <c r="G32" s="131" t="s">
        <v>634</v>
      </c>
      <c r="H32" s="116" t="s">
        <v>600</v>
      </c>
      <c r="I32" s="53">
        <v>6188.6216999999997</v>
      </c>
      <c r="J32" s="53"/>
      <c r="K32" s="133">
        <v>6391</v>
      </c>
      <c r="L32" s="154">
        <f t="shared" si="0"/>
        <v>0.10545437204982278</v>
      </c>
      <c r="M32" s="160">
        <f t="shared" si="12"/>
        <v>0.54933248066892904</v>
      </c>
      <c r="N32" s="275"/>
      <c r="O32" s="176"/>
      <c r="P32" s="25">
        <f t="shared" si="13"/>
        <v>1.0052784396241401E-2</v>
      </c>
      <c r="Q32" s="25">
        <f t="shared" si="3"/>
        <v>0.31351268973152668</v>
      </c>
      <c r="R32" s="25"/>
      <c r="S32" s="131">
        <v>6</v>
      </c>
      <c r="T32" s="131">
        <v>0</v>
      </c>
      <c r="U32" s="131">
        <f t="shared" si="7"/>
        <v>6</v>
      </c>
      <c r="V32" s="104"/>
      <c r="W32" s="113">
        <f t="shared" si="4"/>
        <v>5.2252114955254447E-2</v>
      </c>
      <c r="X32" s="113">
        <f t="shared" si="5"/>
        <v>0.32336857248298218</v>
      </c>
      <c r="Y32" s="209">
        <f t="shared" si="6"/>
        <v>4.1933299093710831E-2</v>
      </c>
      <c r="Z32" s="161"/>
      <c r="AA32" s="130" t="s">
        <v>709</v>
      </c>
    </row>
    <row r="33" spans="2:27">
      <c r="D33" s="131">
        <v>27</v>
      </c>
      <c r="E33" s="131" t="s">
        <v>41</v>
      </c>
      <c r="F33" s="131" t="s">
        <v>633</v>
      </c>
      <c r="G33" s="131" t="s">
        <v>634</v>
      </c>
      <c r="H33" s="116" t="s">
        <v>600</v>
      </c>
      <c r="I33" s="53">
        <v>6136.6629000000003</v>
      </c>
      <c r="J33" s="53"/>
      <c r="K33" s="133">
        <v>8719</v>
      </c>
      <c r="L33" s="154">
        <f t="shared" si="0"/>
        <v>0.14386741822913549</v>
      </c>
      <c r="M33" s="160">
        <f t="shared" si="12"/>
        <v>0.74943356265880012</v>
      </c>
      <c r="N33" s="275"/>
      <c r="O33" s="176"/>
      <c r="P33" s="25">
        <f t="shared" si="13"/>
        <v>1.3714634196656044E-2</v>
      </c>
      <c r="Q33" s="25">
        <f t="shared" si="3"/>
        <v>0.42771352554673459</v>
      </c>
      <c r="R33" s="25"/>
      <c r="S33" s="131">
        <v>6</v>
      </c>
      <c r="T33" s="131">
        <v>0</v>
      </c>
      <c r="U33" s="131">
        <f t="shared" si="7"/>
        <v>6</v>
      </c>
      <c r="V33" s="104"/>
      <c r="W33" s="113">
        <f t="shared" si="4"/>
        <v>7.1285587591122426E-2</v>
      </c>
      <c r="X33" s="113">
        <f t="shared" si="5"/>
        <v>0.43745562067514138</v>
      </c>
      <c r="Y33" s="209">
        <f t="shared" si="6"/>
        <v>5.6727706224330127E-2</v>
      </c>
      <c r="Z33" s="161"/>
      <c r="AA33" s="130" t="s">
        <v>710</v>
      </c>
    </row>
    <row r="34" spans="2:27">
      <c r="D34" s="131">
        <v>28</v>
      </c>
      <c r="E34" s="131" t="s">
        <v>670</v>
      </c>
      <c r="I34" s="53">
        <v>6538.8248999999996</v>
      </c>
      <c r="J34" s="53"/>
      <c r="K34" s="133">
        <v>7665</v>
      </c>
      <c r="L34" s="154">
        <f t="shared" si="0"/>
        <v>0.12647594457235042</v>
      </c>
      <c r="M34" s="160">
        <f t="shared" si="12"/>
        <v>0.65883796969603203</v>
      </c>
      <c r="N34" s="275"/>
      <c r="O34" s="176"/>
      <c r="P34" s="25">
        <f t="shared" si="13"/>
        <v>1.2056734845437386E-2</v>
      </c>
      <c r="Q34" s="25">
        <f t="shared" si="3"/>
        <v>0.37600919524208287</v>
      </c>
      <c r="R34" s="25"/>
      <c r="S34" s="131">
        <v>6</v>
      </c>
      <c r="T34" s="131">
        <v>0</v>
      </c>
      <c r="U34" s="131">
        <f t="shared" si="7"/>
        <v>6</v>
      </c>
      <c r="V34" s="104"/>
      <c r="W34" s="113">
        <f t="shared" si="4"/>
        <v>6.2668199207013817E-2</v>
      </c>
      <c r="X34" s="113">
        <f t="shared" si="5"/>
        <v>0.40977638141298217</v>
      </c>
      <c r="Y34" s="209">
        <f t="shared" si="6"/>
        <v>5.3138359833138728E-2</v>
      </c>
      <c r="Z34" s="161"/>
      <c r="AA34" s="130" t="s">
        <v>670</v>
      </c>
    </row>
    <row r="35" spans="2:27">
      <c r="D35" s="131">
        <v>29</v>
      </c>
      <c r="E35" s="131" t="s">
        <v>492</v>
      </c>
      <c r="F35" s="131" t="s">
        <v>626</v>
      </c>
      <c r="G35" s="131" t="s">
        <v>627</v>
      </c>
      <c r="H35" s="116" t="s">
        <v>628</v>
      </c>
      <c r="I35" s="53">
        <v>7362.2950000000001</v>
      </c>
      <c r="J35" s="53"/>
      <c r="K35" s="133">
        <v>14838</v>
      </c>
      <c r="L35" s="154">
        <f t="shared" si="0"/>
        <v>0.24483366804494922</v>
      </c>
      <c r="M35" s="160">
        <f>(K29/SUM(K$29:K$31)*100)</f>
        <v>0.27941141757581744</v>
      </c>
      <c r="N35" s="275">
        <v>0.43620518529794738</v>
      </c>
      <c r="O35" s="176"/>
      <c r="P35" s="25">
        <f>(M35*0.44)/100</f>
        <v>1.2294102373335968E-3</v>
      </c>
      <c r="Q35" s="25">
        <f t="shared" si="3"/>
        <v>3.8341189375755397E-2</v>
      </c>
      <c r="R35" s="25"/>
      <c r="S35" s="131">
        <v>8</v>
      </c>
      <c r="T35" s="131">
        <v>2</v>
      </c>
      <c r="U35" s="131">
        <f t="shared" si="7"/>
        <v>10</v>
      </c>
      <c r="V35" s="104"/>
      <c r="W35" s="113">
        <f t="shared" si="4"/>
        <v>3.8341189375755398E-3</v>
      </c>
      <c r="X35" s="113">
        <f t="shared" si="5"/>
        <v>2.8227914683517711E-2</v>
      </c>
      <c r="Y35" s="209">
        <f t="shared" si="6"/>
        <v>3.6604966899743902E-3</v>
      </c>
      <c r="Z35" s="161"/>
      <c r="AA35" s="130" t="s">
        <v>629</v>
      </c>
    </row>
    <row r="36" spans="2:27">
      <c r="D36" s="131">
        <v>30</v>
      </c>
      <c r="E36" s="131" t="s">
        <v>492</v>
      </c>
      <c r="F36" s="131" t="s">
        <v>626</v>
      </c>
      <c r="G36" s="131" t="s">
        <v>627</v>
      </c>
      <c r="H36" s="116" t="s">
        <v>628</v>
      </c>
      <c r="I36" s="53">
        <v>7347.2690000000002</v>
      </c>
      <c r="J36" s="53"/>
      <c r="K36" s="133">
        <v>184715</v>
      </c>
      <c r="L36" s="154">
        <f t="shared" si="0"/>
        <v>3.0478805090256635</v>
      </c>
      <c r="M36" s="160">
        <f t="shared" ref="M36:M37" si="14">(K30/SUM(K$29:K$31)*100)</f>
        <v>91.726676883775866</v>
      </c>
      <c r="N36" s="275"/>
      <c r="O36" s="176"/>
      <c r="P36" s="25">
        <f t="shared" ref="P36:P37" si="15">(M36*0.44)/100</f>
        <v>0.40359737828861386</v>
      </c>
      <c r="Q36" s="25">
        <f t="shared" si="3"/>
        <v>12.586851030363759</v>
      </c>
      <c r="R36" s="25"/>
      <c r="S36" s="131">
        <v>8</v>
      </c>
      <c r="T36" s="131">
        <v>2</v>
      </c>
      <c r="U36" s="131">
        <f t="shared" si="7"/>
        <v>10</v>
      </c>
      <c r="V36" s="104"/>
      <c r="W36" s="113">
        <f t="shared" si="4"/>
        <v>1.2586851030363759</v>
      </c>
      <c r="X36" s="113">
        <f t="shared" si="5"/>
        <v>9.2478980383009706</v>
      </c>
      <c r="Y36" s="209">
        <f t="shared" si="6"/>
        <v>1.1992348899292762</v>
      </c>
      <c r="Z36" s="161"/>
      <c r="AA36" s="130" t="s">
        <v>122</v>
      </c>
    </row>
    <row r="37" spans="2:27">
      <c r="D37" s="131">
        <v>31</v>
      </c>
      <c r="E37" s="131" t="s">
        <v>492</v>
      </c>
      <c r="F37" s="96" t="s">
        <v>711</v>
      </c>
      <c r="G37" s="133" t="s">
        <v>712</v>
      </c>
      <c r="H37" s="116" t="s">
        <v>608</v>
      </c>
      <c r="I37" s="53">
        <v>7379.4507999999996</v>
      </c>
      <c r="J37" s="53"/>
      <c r="K37" s="133">
        <v>25500</v>
      </c>
      <c r="L37" s="154">
        <f t="shared" si="0"/>
        <v>0.42076145943834786</v>
      </c>
      <c r="M37" s="160">
        <f t="shared" si="14"/>
        <v>7.9939116986483167</v>
      </c>
      <c r="N37" s="275"/>
      <c r="O37" s="176"/>
      <c r="P37" s="25">
        <f t="shared" si="15"/>
        <v>3.5173211474052592E-2</v>
      </c>
      <c r="Q37" s="25">
        <f t="shared" si="3"/>
        <v>1.096934709934589</v>
      </c>
      <c r="R37" s="25"/>
      <c r="S37" s="131">
        <v>8</v>
      </c>
      <c r="T37" s="131">
        <v>0</v>
      </c>
      <c r="U37" s="131">
        <f t="shared" si="7"/>
        <v>8</v>
      </c>
      <c r="V37" s="104"/>
      <c r="W37" s="113">
        <f t="shared" si="4"/>
        <v>0.13711683874182362</v>
      </c>
      <c r="X37" s="113">
        <f t="shared" si="5"/>
        <v>1.0118469653468212</v>
      </c>
      <c r="Y37" s="209">
        <f t="shared" si="6"/>
        <v>0.13121275549183081</v>
      </c>
      <c r="Z37" s="161"/>
      <c r="AA37" s="130" t="s">
        <v>713</v>
      </c>
    </row>
    <row r="38" spans="2:27">
      <c r="D38" s="131">
        <v>32</v>
      </c>
      <c r="E38" s="131" t="s">
        <v>492</v>
      </c>
      <c r="F38" s="96" t="s">
        <v>711</v>
      </c>
      <c r="G38" s="133" t="s">
        <v>712</v>
      </c>
      <c r="H38" s="116" t="s">
        <v>608</v>
      </c>
      <c r="I38" s="53">
        <v>7238.7433000000001</v>
      </c>
      <c r="J38" s="53"/>
      <c r="K38" s="133">
        <v>46112</v>
      </c>
      <c r="L38" s="154">
        <f t="shared" si="0"/>
        <v>0.76086872225965074</v>
      </c>
      <c r="M38" s="133">
        <v>100</v>
      </c>
      <c r="N38" s="160">
        <v>0.23314250870107628</v>
      </c>
      <c r="O38" s="147"/>
      <c r="P38" s="160">
        <f>(M38*0.23)/100</f>
        <v>0.23</v>
      </c>
      <c r="Q38" s="25">
        <f t="shared" si="3"/>
        <v>7.1729299859660074</v>
      </c>
      <c r="R38" s="160"/>
      <c r="S38" s="131">
        <v>8</v>
      </c>
      <c r="T38" s="131">
        <v>0</v>
      </c>
      <c r="U38" s="131">
        <f t="shared" si="7"/>
        <v>8</v>
      </c>
      <c r="V38" s="217"/>
      <c r="W38" s="113">
        <f t="shared" si="4"/>
        <v>0.89661624824575092</v>
      </c>
      <c r="X38" s="113">
        <f t="shared" si="5"/>
        <v>6.4903748596600659</v>
      </c>
      <c r="Y38" s="209">
        <f t="shared" si="6"/>
        <v>0.84164898317306347</v>
      </c>
      <c r="Z38" s="162"/>
      <c r="AA38" s="130" t="s">
        <v>714</v>
      </c>
    </row>
    <row r="39" spans="2:27">
      <c r="D39" s="131">
        <v>33</v>
      </c>
      <c r="E39" s="131" t="s">
        <v>111</v>
      </c>
      <c r="F39" s="131" t="s">
        <v>612</v>
      </c>
      <c r="G39" s="131" t="s">
        <v>613</v>
      </c>
      <c r="H39" s="116" t="s">
        <v>600</v>
      </c>
      <c r="I39" s="53">
        <v>13353.525</v>
      </c>
      <c r="J39" s="53"/>
      <c r="K39" s="133">
        <v>48183</v>
      </c>
      <c r="L39" s="154">
        <f t="shared" si="0"/>
        <v>0.79504115294580047</v>
      </c>
      <c r="M39" s="160">
        <f>(K39/SUM(K$39:K$43)*100)</f>
        <v>5.358972048995172</v>
      </c>
      <c r="N39" s="275">
        <v>3.0773940103272035</v>
      </c>
      <c r="O39" s="176"/>
      <c r="P39" s="25">
        <f>(M39*3.08)/100</f>
        <v>0.16505633910905129</v>
      </c>
      <c r="Q39" s="25">
        <f t="shared" si="3"/>
        <v>5.1475546268221208</v>
      </c>
      <c r="R39" s="25"/>
      <c r="S39" s="131">
        <v>14</v>
      </c>
      <c r="T39" s="131">
        <v>1</v>
      </c>
      <c r="U39" s="131">
        <f t="shared" si="7"/>
        <v>15</v>
      </c>
      <c r="V39" s="104"/>
      <c r="W39" s="113">
        <f t="shared" si="4"/>
        <v>0.34317030845480806</v>
      </c>
      <c r="X39" s="113">
        <f t="shared" si="5"/>
        <v>4.5825332932089902</v>
      </c>
      <c r="Y39" s="209">
        <f t="shared" si="6"/>
        <v>0.59424679929628299</v>
      </c>
      <c r="Z39" s="161"/>
      <c r="AA39" s="130" t="s">
        <v>129</v>
      </c>
    </row>
    <row r="40" spans="2:27">
      <c r="D40" s="131">
        <v>34</v>
      </c>
      <c r="E40" s="131" t="s">
        <v>111</v>
      </c>
      <c r="F40" s="131" t="s">
        <v>645</v>
      </c>
      <c r="G40" s="131" t="s">
        <v>646</v>
      </c>
      <c r="H40" s="116" t="s">
        <v>600</v>
      </c>
      <c r="I40" s="53">
        <v>13335.5268</v>
      </c>
      <c r="J40" s="53"/>
      <c r="K40" s="133">
        <v>735924</v>
      </c>
      <c r="L40" s="154">
        <f t="shared" si="0"/>
        <v>12.143076716694379</v>
      </c>
      <c r="M40" s="160">
        <f t="shared" ref="M40:M43" si="16">(K40/SUM(K$39:K$43)*100)</f>
        <v>81.850365194876261</v>
      </c>
      <c r="N40" s="275"/>
      <c r="O40" s="176"/>
      <c r="P40" s="25">
        <f t="shared" ref="P40:P43" si="17">(M40*3.08)/100</f>
        <v>2.520991248002189</v>
      </c>
      <c r="Q40" s="25">
        <f t="shared" si="3"/>
        <v>78.621277031098984</v>
      </c>
      <c r="R40" s="25"/>
      <c r="S40" s="131">
        <v>14</v>
      </c>
      <c r="T40" s="131">
        <v>1</v>
      </c>
      <c r="U40" s="131">
        <f t="shared" si="7"/>
        <v>15</v>
      </c>
      <c r="V40" s="104"/>
      <c r="W40" s="113">
        <f t="shared" si="4"/>
        <v>5.2414184687399326</v>
      </c>
      <c r="X40" s="113">
        <f t="shared" si="5"/>
        <v>69.897076459896326</v>
      </c>
      <c r="Y40" s="209">
        <f t="shared" si="6"/>
        <v>9.0640070259859815</v>
      </c>
      <c r="Z40" s="161"/>
      <c r="AA40" s="145" t="s">
        <v>136</v>
      </c>
    </row>
    <row r="41" spans="2:27">
      <c r="D41" s="131">
        <v>35</v>
      </c>
      <c r="E41" s="131" t="s">
        <v>111</v>
      </c>
      <c r="F41" s="131" t="s">
        <v>612</v>
      </c>
      <c r="G41" s="131" t="s">
        <v>613</v>
      </c>
      <c r="H41" s="116" t="s">
        <v>600</v>
      </c>
      <c r="I41" s="53">
        <v>13369.5093</v>
      </c>
      <c r="J41" s="53"/>
      <c r="K41" s="133">
        <v>40846</v>
      </c>
      <c r="L41" s="154">
        <f t="shared" si="0"/>
        <v>0.67397735577328455</v>
      </c>
      <c r="M41" s="160">
        <f t="shared" si="16"/>
        <v>4.5429419569818563</v>
      </c>
      <c r="N41" s="275"/>
      <c r="O41" s="176"/>
      <c r="P41" s="25">
        <f t="shared" si="17"/>
        <v>0.13992261227504119</v>
      </c>
      <c r="Q41" s="25">
        <f t="shared" si="3"/>
        <v>4.3637178317492964</v>
      </c>
      <c r="R41" s="25"/>
      <c r="S41" s="131">
        <v>14</v>
      </c>
      <c r="T41" s="131">
        <v>1</v>
      </c>
      <c r="U41" s="131">
        <f t="shared" si="7"/>
        <v>15</v>
      </c>
      <c r="V41" s="104"/>
      <c r="W41" s="113">
        <f t="shared" si="4"/>
        <v>0.29091452211661978</v>
      </c>
      <c r="X41" s="113">
        <f t="shared" si="5"/>
        <v>3.8893844089432035</v>
      </c>
      <c r="Y41" s="209">
        <f t="shared" si="6"/>
        <v>0.50436169000070108</v>
      </c>
      <c r="Z41" s="161"/>
      <c r="AA41" s="145" t="s">
        <v>715</v>
      </c>
    </row>
    <row r="42" spans="2:27">
      <c r="D42" s="131">
        <v>36</v>
      </c>
      <c r="E42" s="131" t="s">
        <v>111</v>
      </c>
      <c r="F42" s="131" t="s">
        <v>645</v>
      </c>
      <c r="G42" s="131" t="s">
        <v>646</v>
      </c>
      <c r="H42" s="116" t="s">
        <v>600</v>
      </c>
      <c r="I42" s="53">
        <v>13390.4702</v>
      </c>
      <c r="J42" s="53"/>
      <c r="K42" s="133">
        <v>54103</v>
      </c>
      <c r="L42" s="154">
        <f t="shared" si="0"/>
        <v>0.89272381333305606</v>
      </c>
      <c r="M42" s="160">
        <f t="shared" si="16"/>
        <v>6.0174016720998234</v>
      </c>
      <c r="N42" s="275"/>
      <c r="O42" s="176"/>
      <c r="P42" s="25">
        <f t="shared" si="17"/>
        <v>0.18533597150067457</v>
      </c>
      <c r="Q42" s="25">
        <f t="shared" si="3"/>
        <v>5.7800084671970868</v>
      </c>
      <c r="R42" s="25"/>
      <c r="S42" s="131">
        <v>14</v>
      </c>
      <c r="T42" s="131">
        <v>1</v>
      </c>
      <c r="U42" s="131">
        <f t="shared" si="7"/>
        <v>15</v>
      </c>
      <c r="V42" s="104"/>
      <c r="W42" s="113">
        <f t="shared" si="4"/>
        <v>0.38533389781313915</v>
      </c>
      <c r="X42" s="113">
        <f t="shared" si="5"/>
        <v>5.1598020757166854</v>
      </c>
      <c r="Y42" s="209">
        <f t="shared" si="6"/>
        <v>0.66910498458153189</v>
      </c>
      <c r="Z42" s="161"/>
      <c r="AA42" s="145" t="s">
        <v>651</v>
      </c>
    </row>
    <row r="43" spans="2:27">
      <c r="D43" s="131">
        <v>37</v>
      </c>
      <c r="E43" s="131" t="s">
        <v>111</v>
      </c>
      <c r="F43" s="131" t="s">
        <v>648</v>
      </c>
      <c r="G43" s="131" t="s">
        <v>649</v>
      </c>
      <c r="H43" s="116" t="s">
        <v>600</v>
      </c>
      <c r="I43" s="53">
        <v>13318.5236</v>
      </c>
      <c r="J43" s="53"/>
      <c r="K43" s="133">
        <v>20053</v>
      </c>
      <c r="L43" s="154">
        <f t="shared" si="0"/>
        <v>0.33088351161243873</v>
      </c>
      <c r="M43" s="160">
        <f t="shared" si="16"/>
        <v>2.2303191270468878</v>
      </c>
      <c r="N43" s="275"/>
      <c r="O43" s="176"/>
      <c r="P43" s="25">
        <f t="shared" si="17"/>
        <v>6.8693829113044155E-2</v>
      </c>
      <c r="Q43" s="25">
        <f t="shared" si="3"/>
        <v>2.1423305508512138</v>
      </c>
      <c r="R43" s="25"/>
      <c r="S43" s="131">
        <v>14</v>
      </c>
      <c r="T43" s="131">
        <v>1</v>
      </c>
      <c r="U43" s="131">
        <f t="shared" si="7"/>
        <v>15</v>
      </c>
      <c r="V43" s="104"/>
      <c r="W43" s="113">
        <f t="shared" si="4"/>
        <v>0.14282203672341426</v>
      </c>
      <c r="X43" s="113">
        <f t="shared" si="5"/>
        <v>1.9021786667008596</v>
      </c>
      <c r="Y43" s="209">
        <f t="shared" si="6"/>
        <v>0.24666783895531771</v>
      </c>
      <c r="Z43" s="161"/>
      <c r="AA43" s="163" t="s">
        <v>650</v>
      </c>
    </row>
    <row r="44" spans="2:27">
      <c r="D44" s="131">
        <v>38</v>
      </c>
      <c r="E44" s="131" t="s">
        <v>111</v>
      </c>
      <c r="F44" s="131" t="s">
        <v>648</v>
      </c>
      <c r="G44" s="131" t="s">
        <v>649</v>
      </c>
      <c r="H44" s="116" t="s">
        <v>600</v>
      </c>
      <c r="I44" s="53">
        <v>13311.344999999999</v>
      </c>
      <c r="J44" s="53"/>
      <c r="K44" s="133">
        <v>3054</v>
      </c>
      <c r="L44" s="154">
        <f t="shared" si="0"/>
        <v>5.0392372436263301E-2</v>
      </c>
      <c r="M44" s="133">
        <v>100</v>
      </c>
      <c r="N44" s="160">
        <v>0.41526041566127264</v>
      </c>
      <c r="O44" s="147"/>
      <c r="P44" s="160">
        <f>(M44*0.42)/100</f>
        <v>0.42</v>
      </c>
      <c r="Q44" s="25">
        <f t="shared" si="3"/>
        <v>13.098393887416185</v>
      </c>
      <c r="R44" s="160"/>
      <c r="S44" s="131">
        <v>14</v>
      </c>
      <c r="T44" s="131">
        <v>1</v>
      </c>
      <c r="U44" s="131">
        <f t="shared" si="7"/>
        <v>15</v>
      </c>
      <c r="V44" s="104"/>
      <c r="W44" s="113">
        <f t="shared" si="4"/>
        <v>0.87322625916107899</v>
      </c>
      <c r="X44" s="113">
        <f t="shared" si="5"/>
        <v>11.623815998752532</v>
      </c>
      <c r="Y44" s="209">
        <f t="shared" si="6"/>
        <v>1.5073355742126195</v>
      </c>
      <c r="Z44" s="161"/>
      <c r="AA44" s="163" t="s">
        <v>654</v>
      </c>
    </row>
    <row r="45" spans="2:27">
      <c r="D45" s="131">
        <v>39</v>
      </c>
      <c r="E45" s="131" t="s">
        <v>183</v>
      </c>
      <c r="F45" s="131" t="s">
        <v>656</v>
      </c>
      <c r="G45" s="131" t="s">
        <v>657</v>
      </c>
      <c r="H45" s="116" t="s">
        <v>658</v>
      </c>
      <c r="I45" s="53">
        <v>24888.374400000001</v>
      </c>
      <c r="J45" s="53"/>
      <c r="K45" s="133">
        <v>33932</v>
      </c>
      <c r="L45" s="154">
        <f t="shared" si="0"/>
        <v>0.55989324869262813</v>
      </c>
      <c r="M45" s="160">
        <f>(K45/SUM(K$45:K$47)*100)</f>
        <v>56.900425931515578</v>
      </c>
      <c r="N45" s="275">
        <v>3.2993022176183846</v>
      </c>
      <c r="O45" s="176"/>
      <c r="P45" s="25">
        <f>(M45*3.3)/100</f>
        <v>1.8777140557400138</v>
      </c>
      <c r="Q45" s="25">
        <f t="shared" si="3"/>
        <v>58.559615023858221</v>
      </c>
      <c r="R45" s="25"/>
      <c r="S45" s="131">
        <v>16</v>
      </c>
      <c r="T45" s="131">
        <v>4</v>
      </c>
      <c r="U45" s="131">
        <f t="shared" si="7"/>
        <v>20</v>
      </c>
      <c r="V45" s="104"/>
      <c r="W45" s="113">
        <f t="shared" si="4"/>
        <v>2.9279807511929112</v>
      </c>
      <c r="X45" s="113">
        <f t="shared" si="5"/>
        <v>72.87268117168243</v>
      </c>
      <c r="Y45" s="209">
        <f t="shared" si="6"/>
        <v>9.4498729789012064</v>
      </c>
      <c r="Z45" s="161"/>
      <c r="AA45" s="130" t="s">
        <v>659</v>
      </c>
    </row>
    <row r="46" spans="2:27">
      <c r="D46" s="131">
        <v>40</v>
      </c>
      <c r="E46" s="131" t="s">
        <v>183</v>
      </c>
      <c r="F46" s="131" t="s">
        <v>656</v>
      </c>
      <c r="G46" s="131" t="s">
        <v>657</v>
      </c>
      <c r="H46" s="116" t="s">
        <v>658</v>
      </c>
      <c r="I46" s="53">
        <v>24777.37</v>
      </c>
      <c r="J46" s="53"/>
      <c r="K46" s="133">
        <v>14289</v>
      </c>
      <c r="L46" s="154">
        <f t="shared" si="0"/>
        <v>0.2357749213299824</v>
      </c>
      <c r="M46" s="160">
        <f t="shared" ref="M46:M47" si="18">(K46/SUM(K$45:K$47)*100)</f>
        <v>23.96116309487876</v>
      </c>
      <c r="N46" s="275"/>
      <c r="O46" s="176"/>
      <c r="P46" s="25">
        <f t="shared" ref="P46:P47" si="19">(M46*3.3)/100</f>
        <v>0.7907183821309991</v>
      </c>
      <c r="Q46" s="25">
        <f t="shared" si="3"/>
        <v>24.659859102791177</v>
      </c>
      <c r="R46" s="25"/>
      <c r="S46" s="131">
        <v>16</v>
      </c>
      <c r="T46" s="131">
        <v>4</v>
      </c>
      <c r="U46" s="131">
        <f t="shared" si="7"/>
        <v>20</v>
      </c>
      <c r="V46" s="104"/>
      <c r="W46" s="113">
        <f t="shared" si="4"/>
        <v>1.2329929551395589</v>
      </c>
      <c r="X46" s="113">
        <f t="shared" si="5"/>
        <v>30.550322656886252</v>
      </c>
      <c r="Y46" s="209">
        <f t="shared" si="6"/>
        <v>3.9616583873437503</v>
      </c>
      <c r="Z46" s="161"/>
      <c r="AA46" s="130" t="s">
        <v>659</v>
      </c>
    </row>
    <row r="47" spans="2:27">
      <c r="D47" s="131">
        <v>41</v>
      </c>
      <c r="E47" s="131" t="s">
        <v>183</v>
      </c>
      <c r="F47" s="131" t="s">
        <v>656</v>
      </c>
      <c r="G47" s="131" t="s">
        <v>657</v>
      </c>
      <c r="H47" s="116" t="s">
        <v>658</v>
      </c>
      <c r="I47" s="53">
        <v>24997.359700000001</v>
      </c>
      <c r="J47" s="53"/>
      <c r="K47" s="133">
        <v>11413</v>
      </c>
      <c r="L47" s="154">
        <f t="shared" si="0"/>
        <v>0.18831962888509268</v>
      </c>
      <c r="M47" s="160">
        <f t="shared" si="18"/>
        <v>19.138410973605659</v>
      </c>
      <c r="N47" s="275"/>
      <c r="O47" s="176"/>
      <c r="P47" s="25">
        <f t="shared" si="19"/>
        <v>0.63156756212898668</v>
      </c>
      <c r="Q47" s="25">
        <f t="shared" si="3"/>
        <v>19.696477845906337</v>
      </c>
      <c r="R47" s="25"/>
      <c r="S47" s="131">
        <v>16</v>
      </c>
      <c r="T47" s="131">
        <v>4</v>
      </c>
      <c r="U47" s="131">
        <f t="shared" si="7"/>
        <v>20</v>
      </c>
      <c r="V47" s="104"/>
      <c r="W47" s="113">
        <f t="shared" si="4"/>
        <v>0.98482389229531686</v>
      </c>
      <c r="X47" s="113">
        <f t="shared" si="5"/>
        <v>24.617997076860096</v>
      </c>
      <c r="Y47" s="209">
        <f t="shared" si="6"/>
        <v>3.1923752719241159</v>
      </c>
      <c r="Z47" s="161"/>
      <c r="AA47" s="130" t="s">
        <v>659</v>
      </c>
    </row>
    <row r="48" spans="2:27" s="164" customFormat="1">
      <c r="B48" s="133"/>
      <c r="E48" s="165"/>
      <c r="F48" s="125"/>
      <c r="H48" s="166"/>
      <c r="I48" s="165"/>
      <c r="J48" s="165"/>
      <c r="K48" s="165">
        <f>SUM(K8:K47)</f>
        <v>6060441</v>
      </c>
      <c r="L48" s="164">
        <f>SUM(L8:L47)</f>
        <v>99.999999999999986</v>
      </c>
      <c r="N48" s="155">
        <f>SUM(N8:N47)</f>
        <v>26.939087903942415</v>
      </c>
      <c r="O48" s="190"/>
      <c r="Q48" s="155">
        <f>SUM(Q8:Q47)</f>
        <v>840.79214096366752</v>
      </c>
      <c r="S48" s="165"/>
      <c r="V48" s="218"/>
      <c r="X48" s="155">
        <f>SUM(X8:X47)</f>
        <v>771.1498486210952</v>
      </c>
      <c r="Y48" s="155">
        <f>SUM(Y8:Y47)</f>
        <v>100.00000000000006</v>
      </c>
    </row>
    <row r="49" spans="14:34">
      <c r="N49" s="182">
        <v>0.95599999999999996</v>
      </c>
      <c r="O49" s="191"/>
    </row>
    <row r="50" spans="14:34">
      <c r="AA50" s="133"/>
      <c r="AB50" s="133" t="s">
        <v>788</v>
      </c>
      <c r="AC50" s="133" t="s">
        <v>720</v>
      </c>
      <c r="AD50" s="133" t="s">
        <v>721</v>
      </c>
      <c r="AF50" s="105" t="s">
        <v>722</v>
      </c>
      <c r="AH50" s="170" t="s">
        <v>944</v>
      </c>
    </row>
    <row r="51" spans="14:34" ht="6" customHeight="1">
      <c r="AB51" s="201"/>
      <c r="AC51" s="201"/>
      <c r="AD51" s="201"/>
      <c r="AF51" s="133"/>
    </row>
    <row r="52" spans="14:34">
      <c r="AA52" s="133" t="s">
        <v>492</v>
      </c>
      <c r="AB52" s="130">
        <v>422.45</v>
      </c>
      <c r="AC52" s="132">
        <f>(AB52*100)/$X$48</f>
        <v>54.781830114521746</v>
      </c>
      <c r="AD52" s="175" t="s">
        <v>923</v>
      </c>
      <c r="AF52" s="174" t="s">
        <v>924</v>
      </c>
      <c r="AH52" s="241">
        <v>61</v>
      </c>
    </row>
    <row r="53" spans="14:34">
      <c r="Q53" s="194"/>
      <c r="AA53" s="133" t="s">
        <v>41</v>
      </c>
      <c r="AB53" s="130">
        <v>123.63</v>
      </c>
      <c r="AC53" s="132">
        <f t="shared" ref="AC53:AC55" si="20">(AB53*100)/$X$48</f>
        <v>16.031903555588411</v>
      </c>
      <c r="AD53" s="175" t="s">
        <v>919</v>
      </c>
      <c r="AF53" s="174" t="s">
        <v>920</v>
      </c>
      <c r="AH53" s="130">
        <v>23.1</v>
      </c>
    </row>
    <row r="54" spans="14:34">
      <c r="Q54" s="194"/>
      <c r="AA54" s="133" t="s">
        <v>111</v>
      </c>
      <c r="AB54" s="130">
        <v>97.05</v>
      </c>
      <c r="AC54" s="132">
        <f t="shared" si="20"/>
        <v>12.585102645554114</v>
      </c>
      <c r="AD54" s="175" t="s">
        <v>921</v>
      </c>
      <c r="AF54" s="174" t="s">
        <v>922</v>
      </c>
      <c r="AH54" s="130">
        <v>14.9</v>
      </c>
    </row>
    <row r="55" spans="14:34">
      <c r="Q55" s="194"/>
      <c r="AA55" s="133" t="s">
        <v>183</v>
      </c>
      <c r="AB55" s="130">
        <v>128.04</v>
      </c>
      <c r="AC55" s="132">
        <f t="shared" si="20"/>
        <v>16.603776844273558</v>
      </c>
      <c r="AD55" s="175" t="s">
        <v>746</v>
      </c>
      <c r="AF55" s="174" t="s">
        <v>747</v>
      </c>
      <c r="AH55" s="241">
        <v>1</v>
      </c>
    </row>
    <row r="56" spans="14:34">
      <c r="Q56" s="194"/>
      <c r="AC56" s="132">
        <f>SUM(AC52:AC55)</f>
        <v>100.00261315993782</v>
      </c>
      <c r="AD56" s="130">
        <v>96</v>
      </c>
    </row>
    <row r="57" spans="14:34">
      <c r="Q57" s="194"/>
    </row>
    <row r="58" spans="14:34">
      <c r="Q58" s="194"/>
      <c r="AA58" s="133" t="s">
        <v>160</v>
      </c>
      <c r="AD58" s="130">
        <v>0.16</v>
      </c>
    </row>
    <row r="59" spans="14:34">
      <c r="AA59" s="133" t="s">
        <v>233</v>
      </c>
      <c r="AD59" s="130">
        <v>0.06</v>
      </c>
    </row>
    <row r="60" spans="14:34">
      <c r="AA60" s="133" t="s">
        <v>166</v>
      </c>
      <c r="AD60" s="130">
        <v>1.3</v>
      </c>
    </row>
    <row r="61" spans="14:34">
      <c r="AA61" s="133" t="s">
        <v>228</v>
      </c>
      <c r="AD61" s="130">
        <v>2.23</v>
      </c>
    </row>
    <row r="62" spans="14:34">
      <c r="AA62" s="133" t="s">
        <v>752</v>
      </c>
      <c r="AD62" s="130">
        <v>0.2</v>
      </c>
    </row>
    <row r="63" spans="14:34">
      <c r="AA63" s="133" t="s">
        <v>753</v>
      </c>
      <c r="AD63" s="130">
        <v>0.01</v>
      </c>
    </row>
    <row r="66" spans="29:30">
      <c r="AC66" s="164" t="s">
        <v>754</v>
      </c>
      <c r="AD66" s="130">
        <f>SUM(AD56:AD63)</f>
        <v>99.960000000000008</v>
      </c>
    </row>
  </sheetData>
  <mergeCells count="17">
    <mergeCell ref="N30:N34"/>
    <mergeCell ref="N35:N37"/>
    <mergeCell ref="N39:N43"/>
    <mergeCell ref="N45:N47"/>
    <mergeCell ref="F6:H6"/>
    <mergeCell ref="N8:N17"/>
    <mergeCell ref="N18:N19"/>
    <mergeCell ref="N23:N25"/>
    <mergeCell ref="N26:N29"/>
    <mergeCell ref="AA6:AN6"/>
    <mergeCell ref="D4:I4"/>
    <mergeCell ref="S5:U5"/>
    <mergeCell ref="P5:Q5"/>
    <mergeCell ref="K5:N5"/>
    <mergeCell ref="K4:N4"/>
    <mergeCell ref="W5:Y5"/>
    <mergeCell ref="S4:Y4"/>
  </mergeCells>
  <hyperlinks>
    <hyperlink ref="B12" location="'W. aegyptia (Sinai)'!A1" display="Table S1" xr:uid="{59954C69-E324-C543-8B3B-0FB1F4E1D892}"/>
    <hyperlink ref="B13" location="'W. aegyptia (Riyadh)'!A1" display="Table S2" xr:uid="{84BE372B-7D01-E74A-B738-EFCD7C0CC664}"/>
    <hyperlink ref="B14" location="'W. morgani'!A1" display="Table S3" xr:uid="{4FFE7D3B-227A-5045-A750-9B0D3AA5D872}"/>
    <hyperlink ref="B15" location="'Top-Down MS IDs'!A1" display="Table S4" xr:uid="{2851A255-6718-F04E-B391-FE2350BED9B5}"/>
    <hyperlink ref="B11" location="'Transcriptomic database'!A1" display="Table S5" xr:uid="{649F94A6-8CE5-054F-8B8A-0E9BD9F39AA7}"/>
    <hyperlink ref="B16" location="'W. aegyptia (Sinai) ICP-MS'!A1" display="Table S6" xr:uid="{FAA8DB70-9685-4D4F-89CB-3E996BBC6D04}"/>
    <hyperlink ref="B17" location="'W. aegyptia (Riyadh) ICP-MS'!A1" display="Table S7" xr:uid="{414DCA53-661C-EC47-BF26-77BAAA20AC17}"/>
    <hyperlink ref="B18" location="'W. morgani ICP-MS'!A1" display="Table S8" xr:uid="{993E2AED-115F-5D4E-9617-327906DC1A3F}"/>
    <hyperlink ref="B10" location="INDEX!A1" display="INDEX" xr:uid="{0E218EEA-BD8E-3641-A949-A564C525ED7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ACB3-E9C0-D244-B99A-DC8992C606CD}">
  <dimension ref="B4:AN84"/>
  <sheetViews>
    <sheetView topLeftCell="P56" workbookViewId="0">
      <selection activeCell="AH88" sqref="AH88"/>
    </sheetView>
  </sheetViews>
  <sheetFormatPr baseColWidth="10" defaultRowHeight="16"/>
  <cols>
    <col min="1" max="1" width="10.83203125" style="97"/>
    <col min="2" max="2" width="10.83203125" style="96"/>
    <col min="3" max="3" width="10.83203125" style="95"/>
    <col min="4" max="4" width="12.6640625" style="46" customWidth="1"/>
    <col min="5" max="5" width="12.83203125" style="96" customWidth="1"/>
    <col min="6" max="6" width="10.83203125" style="46"/>
    <col min="7" max="7" width="14.6640625" style="46" customWidth="1"/>
    <col min="8" max="8" width="10.83203125" style="46"/>
    <col min="9" max="9" width="11.6640625" style="96" bestFit="1" customWidth="1"/>
    <col min="10" max="10" width="1.5" style="96" customWidth="1"/>
    <col min="11" max="11" width="14" style="97" customWidth="1"/>
    <col min="12" max="12" width="16.5" style="96" customWidth="1"/>
    <col min="13" max="13" width="19.6640625" style="96" customWidth="1"/>
    <col min="14" max="14" width="11.5" style="97" customWidth="1"/>
    <col min="15" max="15" width="1.5" style="95" customWidth="1"/>
    <col min="16" max="16" width="12.5" style="126" customWidth="1"/>
    <col min="17" max="17" width="25.1640625" style="99" customWidth="1"/>
    <col min="18" max="18" width="1.5" style="99" customWidth="1"/>
    <col min="19" max="19" width="8.1640625" style="46" customWidth="1"/>
    <col min="20" max="21" width="8.5" style="46" customWidth="1"/>
    <col min="22" max="22" width="1.5" style="95" customWidth="1"/>
    <col min="23" max="23" width="17" style="97" customWidth="1"/>
    <col min="24" max="24" width="14.33203125" style="97" customWidth="1"/>
    <col min="25" max="25" width="12.1640625" style="97" customWidth="1"/>
    <col min="26" max="26" width="1.5" style="97" customWidth="1"/>
    <col min="27" max="27" width="10.83203125" style="97"/>
    <col min="28" max="28" width="17.6640625" style="97" customWidth="1"/>
    <col min="29" max="29" width="14" style="97" customWidth="1"/>
    <col min="30" max="30" width="13.1640625" style="97" customWidth="1"/>
    <col min="31" max="31" width="2.83203125" style="97" customWidth="1"/>
    <col min="32" max="32" width="16.6640625" style="97" customWidth="1"/>
    <col min="33" max="33" width="1.5" style="97" customWidth="1"/>
    <col min="34" max="34" width="15.83203125" style="97" customWidth="1"/>
    <col min="35" max="16384" width="10.83203125" style="97"/>
  </cols>
  <sheetData>
    <row r="4" spans="2:40" ht="19">
      <c r="D4" s="167" t="s">
        <v>946</v>
      </c>
    </row>
    <row r="6" spans="2:40" s="130" customFormat="1">
      <c r="B6" s="133"/>
      <c r="D6" s="272" t="s">
        <v>583</v>
      </c>
      <c r="E6" s="272"/>
      <c r="F6" s="272"/>
      <c r="G6" s="272"/>
      <c r="H6" s="272"/>
      <c r="I6" s="272"/>
      <c r="J6" s="256"/>
      <c r="K6" s="272" t="s">
        <v>584</v>
      </c>
      <c r="L6" s="272"/>
      <c r="M6" s="272"/>
      <c r="N6" s="272"/>
      <c r="O6" s="100"/>
      <c r="P6" s="193"/>
      <c r="Q6" s="193"/>
      <c r="R6" s="256"/>
      <c r="S6" s="279" t="s">
        <v>585</v>
      </c>
      <c r="T6" s="279"/>
      <c r="U6" s="279"/>
      <c r="V6" s="279"/>
      <c r="W6" s="279"/>
      <c r="X6" s="279"/>
      <c r="Y6" s="279"/>
      <c r="Z6" s="256"/>
      <c r="AN6" s="100"/>
    </row>
    <row r="7" spans="2:40" s="130" customFormat="1" ht="16" customHeight="1">
      <c r="B7" s="133"/>
      <c r="D7" s="254"/>
      <c r="H7" s="132"/>
      <c r="I7" s="254"/>
      <c r="J7" s="254"/>
      <c r="K7" s="274" t="s">
        <v>723</v>
      </c>
      <c r="L7" s="274"/>
      <c r="M7" s="274"/>
      <c r="N7" s="274"/>
      <c r="O7" s="135"/>
      <c r="P7" s="278" t="s">
        <v>955</v>
      </c>
      <c r="Q7" s="278"/>
      <c r="R7" s="256"/>
      <c r="S7" s="274" t="s">
        <v>586</v>
      </c>
      <c r="T7" s="274"/>
      <c r="U7" s="274"/>
      <c r="V7" s="256"/>
      <c r="W7" s="274" t="s">
        <v>587</v>
      </c>
      <c r="X7" s="274"/>
      <c r="Y7" s="274"/>
      <c r="Z7" s="256"/>
      <c r="AA7" s="100"/>
    </row>
    <row r="8" spans="2:40" s="101" customFormat="1" ht="15" customHeight="1">
      <c r="B8" s="184"/>
      <c r="D8" s="255" t="s">
        <v>588</v>
      </c>
      <c r="E8" s="255" t="s">
        <v>14</v>
      </c>
      <c r="F8" s="272" t="s">
        <v>589</v>
      </c>
      <c r="G8" s="272"/>
      <c r="H8" s="272"/>
      <c r="I8" s="103" t="s">
        <v>590</v>
      </c>
      <c r="J8" s="104"/>
      <c r="K8" s="255" t="s">
        <v>591</v>
      </c>
      <c r="L8" s="255" t="s">
        <v>592</v>
      </c>
      <c r="M8" s="255" t="s">
        <v>593</v>
      </c>
      <c r="N8" s="105" t="s">
        <v>660</v>
      </c>
      <c r="O8" s="184"/>
      <c r="P8" s="106" t="s">
        <v>594</v>
      </c>
      <c r="Q8" s="179" t="s">
        <v>739</v>
      </c>
      <c r="R8" s="107"/>
      <c r="S8" s="255" t="s">
        <v>595</v>
      </c>
      <c r="T8" s="255" t="s">
        <v>596</v>
      </c>
      <c r="U8" s="255" t="s">
        <v>661</v>
      </c>
      <c r="V8" s="256"/>
      <c r="W8" s="180" t="s">
        <v>738</v>
      </c>
      <c r="X8" s="108" t="s">
        <v>597</v>
      </c>
      <c r="Y8" s="211" t="s">
        <v>740</v>
      </c>
      <c r="Z8" s="109"/>
      <c r="AA8" s="276" t="s">
        <v>952</v>
      </c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</row>
    <row r="9" spans="2:40" s="95" customFormat="1">
      <c r="B9" s="110"/>
      <c r="D9" s="73"/>
      <c r="E9" s="110"/>
      <c r="F9" s="73"/>
      <c r="G9" s="73"/>
      <c r="H9" s="73"/>
      <c r="I9" s="110"/>
      <c r="J9" s="110"/>
      <c r="K9" s="111"/>
      <c r="L9" s="110"/>
      <c r="M9" s="110"/>
      <c r="N9" s="111"/>
      <c r="O9" s="111"/>
      <c r="Q9" s="99"/>
      <c r="R9" s="99"/>
      <c r="S9" s="73"/>
      <c r="T9" s="73"/>
      <c r="U9" s="73"/>
    </row>
    <row r="10" spans="2:40">
      <c r="B10" s="66"/>
      <c r="D10" s="46">
        <v>1</v>
      </c>
      <c r="E10" s="96" t="s">
        <v>492</v>
      </c>
      <c r="F10" s="46" t="s">
        <v>26</v>
      </c>
      <c r="G10" s="46" t="s">
        <v>416</v>
      </c>
      <c r="H10" s="116" t="s">
        <v>600</v>
      </c>
      <c r="I10" s="112">
        <v>6830.0190000000002</v>
      </c>
      <c r="J10" s="112"/>
      <c r="K10" s="46">
        <v>180437</v>
      </c>
      <c r="L10" s="96">
        <f>(K10/$K$63)*100</f>
        <v>2.2687015076478794</v>
      </c>
      <c r="M10" s="59">
        <f>(K10/SUM(K$10:K$15)*100)</f>
        <v>6.4295719616970155</v>
      </c>
      <c r="N10" s="280">
        <v>8.4922508719799161</v>
      </c>
      <c r="O10" s="185"/>
      <c r="P10" s="53">
        <f>(M10*8.49)/100</f>
        <v>0.54587065954807668</v>
      </c>
      <c r="Q10" s="99">
        <f>(P10/32.065)*1000</f>
        <v>17.023878357962786</v>
      </c>
      <c r="S10" s="46">
        <v>6</v>
      </c>
      <c r="T10" s="46">
        <v>1</v>
      </c>
      <c r="U10" s="46">
        <f>SUM(S10:T10)</f>
        <v>7</v>
      </c>
      <c r="V10" s="185"/>
      <c r="W10" s="114">
        <f t="shared" ref="W10:W62" si="0">(Q10/U10)</f>
        <v>2.4319826225661125</v>
      </c>
      <c r="X10" s="113">
        <f t="shared" ref="X10:X62" si="1">(W10*I10)/1000</f>
        <v>16.610487519796376</v>
      </c>
      <c r="Y10" s="113">
        <f>(X10*1000)/$X$63</f>
        <v>20.247537618053776</v>
      </c>
      <c r="Z10" s="209"/>
      <c r="AA10" s="115" t="s">
        <v>719</v>
      </c>
    </row>
    <row r="11" spans="2:40" ht="16" customHeight="1">
      <c r="B11" s="224"/>
      <c r="D11" s="46">
        <v>2</v>
      </c>
      <c r="E11" s="96" t="s">
        <v>492</v>
      </c>
      <c r="F11" s="46" t="s">
        <v>26</v>
      </c>
      <c r="G11" s="46" t="s">
        <v>416</v>
      </c>
      <c r="H11" s="116" t="s">
        <v>600</v>
      </c>
      <c r="I11" s="112">
        <v>6848.0303999999996</v>
      </c>
      <c r="J11" s="112"/>
      <c r="K11" s="46">
        <v>2440629</v>
      </c>
      <c r="L11" s="96">
        <f>(K11/$K$63)*100</f>
        <v>30.686936115703183</v>
      </c>
      <c r="M11" s="59">
        <f t="shared" ref="M11:M15" si="2">(K11/SUM(K$10:K$15)*100)</f>
        <v>86.967749338021733</v>
      </c>
      <c r="N11" s="280"/>
      <c r="O11" s="185"/>
      <c r="P11" s="53">
        <f t="shared" ref="P11:P15" si="3">(M11*8.49)/100</f>
        <v>7.3835619187980459</v>
      </c>
      <c r="Q11" s="99">
        <f t="shared" ref="Q11:Q62" si="4">(P11/32.065)*1000</f>
        <v>230.26857691557916</v>
      </c>
      <c r="S11" s="46">
        <v>8</v>
      </c>
      <c r="T11" s="46">
        <v>0</v>
      </c>
      <c r="U11" s="46">
        <f>SUM(S11:T11)</f>
        <v>8</v>
      </c>
      <c r="V11" s="185"/>
      <c r="W11" s="114">
        <f t="shared" si="0"/>
        <v>28.783572114447395</v>
      </c>
      <c r="X11" s="113">
        <f t="shared" si="1"/>
        <v>197.11077686032803</v>
      </c>
      <c r="Y11" s="209">
        <f t="shared" ref="Y11:Y62" si="5">(X11*1000)/$X$63</f>
        <v>240.270363205584</v>
      </c>
      <c r="Z11" s="209"/>
      <c r="AA11" s="97" t="s">
        <v>27</v>
      </c>
    </row>
    <row r="12" spans="2:40" ht="16" customHeight="1">
      <c r="B12" s="225" t="s">
        <v>724</v>
      </c>
      <c r="D12" s="46">
        <v>3</v>
      </c>
      <c r="E12" s="96" t="s">
        <v>492</v>
      </c>
      <c r="F12" s="46" t="s">
        <v>601</v>
      </c>
      <c r="G12" s="46" t="s">
        <v>416</v>
      </c>
      <c r="H12" s="58" t="s">
        <v>600</v>
      </c>
      <c r="I12" s="112">
        <v>6864.0194000000001</v>
      </c>
      <c r="J12" s="112"/>
      <c r="K12" s="46">
        <v>73366</v>
      </c>
      <c r="L12" s="96">
        <f>(K12/$K$63)*100</f>
        <v>0.92245800368047737</v>
      </c>
      <c r="M12" s="59">
        <f t="shared" si="2"/>
        <v>2.6142752126330149</v>
      </c>
      <c r="N12" s="280"/>
      <c r="O12" s="185"/>
      <c r="P12" s="53">
        <f t="shared" si="3"/>
        <v>0.22195196555254296</v>
      </c>
      <c r="Q12" s="99">
        <f t="shared" si="4"/>
        <v>6.9219387354605635</v>
      </c>
      <c r="S12" s="46">
        <v>8</v>
      </c>
      <c r="T12" s="46">
        <v>0</v>
      </c>
      <c r="U12" s="46">
        <f>SUM(S12:T12)</f>
        <v>8</v>
      </c>
      <c r="V12" s="185"/>
      <c r="W12" s="114">
        <f t="shared" si="0"/>
        <v>0.86524234193257044</v>
      </c>
      <c r="X12" s="113">
        <f t="shared" si="1"/>
        <v>5.9390402207265973</v>
      </c>
      <c r="Y12" s="209">
        <f t="shared" si="5"/>
        <v>7.2394588142570235</v>
      </c>
      <c r="Z12" s="209"/>
      <c r="AA12" s="97" t="s">
        <v>602</v>
      </c>
    </row>
    <row r="13" spans="2:40" ht="16" customHeight="1">
      <c r="B13" s="225" t="s">
        <v>725</v>
      </c>
      <c r="D13" s="46">
        <v>4</v>
      </c>
      <c r="E13" s="96" t="s">
        <v>492</v>
      </c>
      <c r="F13" s="46" t="s">
        <v>601</v>
      </c>
      <c r="G13" s="46" t="s">
        <v>416</v>
      </c>
      <c r="H13" s="58" t="s">
        <v>600</v>
      </c>
      <c r="I13" s="112">
        <v>6880.0214999999998</v>
      </c>
      <c r="J13" s="112"/>
      <c r="K13" s="46">
        <v>21063</v>
      </c>
      <c r="L13" s="96">
        <f t="shared" ref="L13:L62" si="6">(K13/$K$63)*100</f>
        <v>0.26483293257805929</v>
      </c>
      <c r="M13" s="59">
        <f t="shared" si="2"/>
        <v>0.75054492276652929</v>
      </c>
      <c r="N13" s="280"/>
      <c r="O13" s="185"/>
      <c r="P13" s="53">
        <f t="shared" si="3"/>
        <v>6.3721263942878345E-2</v>
      </c>
      <c r="Q13" s="99">
        <f t="shared" si="4"/>
        <v>1.9872528907805507</v>
      </c>
      <c r="S13" s="46">
        <v>8</v>
      </c>
      <c r="T13" s="46">
        <v>0</v>
      </c>
      <c r="U13" s="46">
        <f t="shared" ref="U13:U62" si="7">SUM(S13:T13)</f>
        <v>8</v>
      </c>
      <c r="V13" s="185"/>
      <c r="W13" s="114">
        <f t="shared" si="0"/>
        <v>0.24840661134756883</v>
      </c>
      <c r="X13" s="113">
        <f t="shared" si="1"/>
        <v>1.7090428268134177</v>
      </c>
      <c r="Y13" s="209">
        <f t="shared" si="5"/>
        <v>2.0832566705539919</v>
      </c>
      <c r="Z13" s="209"/>
      <c r="AA13" s="97" t="s">
        <v>603</v>
      </c>
    </row>
    <row r="14" spans="2:40" ht="16" customHeight="1">
      <c r="B14" s="225" t="s">
        <v>726</v>
      </c>
      <c r="D14" s="46">
        <v>5</v>
      </c>
      <c r="E14" s="96" t="s">
        <v>492</v>
      </c>
      <c r="F14" s="46" t="s">
        <v>601</v>
      </c>
      <c r="G14" s="46" t="s">
        <v>416</v>
      </c>
      <c r="H14" s="58" t="s">
        <v>600</v>
      </c>
      <c r="I14" s="112">
        <v>6900.9769999999999</v>
      </c>
      <c r="J14" s="112"/>
      <c r="K14" s="46">
        <v>46742</v>
      </c>
      <c r="L14" s="96">
        <f t="shared" si="6"/>
        <v>0.587704549900947</v>
      </c>
      <c r="M14" s="59">
        <f t="shared" si="2"/>
        <v>1.6655733171890574</v>
      </c>
      <c r="N14" s="280"/>
      <c r="O14" s="185"/>
      <c r="P14" s="53">
        <f t="shared" si="3"/>
        <v>0.14140717462935098</v>
      </c>
      <c r="Q14" s="99">
        <f t="shared" si="4"/>
        <v>4.4100163614330583</v>
      </c>
      <c r="S14" s="46">
        <v>8</v>
      </c>
      <c r="T14" s="46">
        <v>0</v>
      </c>
      <c r="U14" s="46">
        <f t="shared" si="7"/>
        <v>8</v>
      </c>
      <c r="V14" s="185"/>
      <c r="W14" s="114">
        <f t="shared" si="0"/>
        <v>0.55125204517913229</v>
      </c>
      <c r="X14" s="113">
        <f t="shared" si="1"/>
        <v>3.8041776849841527</v>
      </c>
      <c r="Y14" s="209">
        <f t="shared" si="5"/>
        <v>4.6371444962514614</v>
      </c>
      <c r="Z14" s="209"/>
      <c r="AA14" s="97" t="s">
        <v>604</v>
      </c>
    </row>
    <row r="15" spans="2:40" ht="16" customHeight="1">
      <c r="B15" s="225" t="s">
        <v>727</v>
      </c>
      <c r="D15" s="46">
        <v>6</v>
      </c>
      <c r="E15" s="96" t="s">
        <v>41</v>
      </c>
      <c r="F15" s="46" t="s">
        <v>598</v>
      </c>
      <c r="G15" s="46" t="s">
        <v>599</v>
      </c>
      <c r="H15" s="58" t="s">
        <v>600</v>
      </c>
      <c r="I15" s="112">
        <v>7010.0708999999997</v>
      </c>
      <c r="J15" s="112"/>
      <c r="K15" s="46">
        <v>44124</v>
      </c>
      <c r="L15" s="96">
        <f t="shared" si="6"/>
        <v>0.55478746223587738</v>
      </c>
      <c r="M15" s="59">
        <f t="shared" si="2"/>
        <v>1.5722852476926525</v>
      </c>
      <c r="N15" s="280"/>
      <c r="O15" s="185"/>
      <c r="P15" s="53">
        <f t="shared" si="3"/>
        <v>0.13348701752910622</v>
      </c>
      <c r="Q15" s="99">
        <f t="shared" si="4"/>
        <v>4.1630131772682439</v>
      </c>
      <c r="S15" s="46">
        <v>6</v>
      </c>
      <c r="T15" s="46">
        <v>1</v>
      </c>
      <c r="U15" s="46">
        <f t="shared" si="7"/>
        <v>7</v>
      </c>
      <c r="V15" s="185"/>
      <c r="W15" s="114">
        <f t="shared" si="0"/>
        <v>0.59471616818117767</v>
      </c>
      <c r="X15" s="113">
        <f t="shared" si="1"/>
        <v>4.1690025043263796</v>
      </c>
      <c r="Y15" s="209">
        <f t="shared" si="5"/>
        <v>5.0818517479096572</v>
      </c>
      <c r="Z15" s="209"/>
      <c r="AA15" s="97" t="s">
        <v>605</v>
      </c>
    </row>
    <row r="16" spans="2:40" ht="16" customHeight="1">
      <c r="B16" s="225" t="s">
        <v>728</v>
      </c>
      <c r="D16" s="46">
        <v>7</v>
      </c>
      <c r="E16" s="96" t="s">
        <v>492</v>
      </c>
      <c r="F16" s="46" t="s">
        <v>606</v>
      </c>
      <c r="G16" s="46" t="s">
        <v>607</v>
      </c>
      <c r="H16" s="58" t="s">
        <v>608</v>
      </c>
      <c r="I16" s="112">
        <v>6896.0178999999998</v>
      </c>
      <c r="J16" s="112"/>
      <c r="K16" s="46">
        <v>317376</v>
      </c>
      <c r="L16" s="96">
        <f t="shared" si="6"/>
        <v>3.9904864838766625</v>
      </c>
      <c r="M16" s="117">
        <v>100</v>
      </c>
      <c r="N16" s="113">
        <v>0.60594163772327003</v>
      </c>
      <c r="O16" s="185"/>
      <c r="P16" s="53">
        <f>(M16*N16)/100</f>
        <v>0.60594163772327003</v>
      </c>
      <c r="Q16" s="99">
        <f t="shared" si="4"/>
        <v>18.89729105639389</v>
      </c>
      <c r="S16" s="46">
        <v>8</v>
      </c>
      <c r="T16" s="46">
        <v>0</v>
      </c>
      <c r="U16" s="46">
        <f t="shared" si="7"/>
        <v>8</v>
      </c>
      <c r="V16" s="185"/>
      <c r="W16" s="114">
        <f t="shared" si="0"/>
        <v>2.3621613820492362</v>
      </c>
      <c r="X16" s="113">
        <f t="shared" si="1"/>
        <v>16.289507173300272</v>
      </c>
      <c r="Y16" s="209">
        <f t="shared" si="5"/>
        <v>19.856275071870815</v>
      </c>
      <c r="Z16" s="209"/>
      <c r="AA16" s="97" t="s">
        <v>609</v>
      </c>
    </row>
    <row r="17" spans="2:27" ht="16" customHeight="1">
      <c r="B17" s="225" t="s">
        <v>729</v>
      </c>
      <c r="D17" s="46">
        <v>8</v>
      </c>
      <c r="E17" s="96" t="s">
        <v>41</v>
      </c>
      <c r="F17" s="46" t="s">
        <v>598</v>
      </c>
      <c r="G17" s="46" t="s">
        <v>599</v>
      </c>
      <c r="H17" s="58" t="s">
        <v>600</v>
      </c>
      <c r="I17" s="112">
        <v>6661.9634999999998</v>
      </c>
      <c r="J17" s="112"/>
      <c r="K17" s="46">
        <v>102061</v>
      </c>
      <c r="L17" s="96">
        <f t="shared" si="6"/>
        <v>1.2832509106893275</v>
      </c>
      <c r="M17" s="117">
        <v>100</v>
      </c>
      <c r="N17" s="113">
        <v>0.3059228128684065</v>
      </c>
      <c r="O17" s="185"/>
      <c r="P17" s="53">
        <f t="shared" ref="P17:P19" si="8">(M17*N17)/100</f>
        <v>0.3059228128684065</v>
      </c>
      <c r="Q17" s="99">
        <f t="shared" si="4"/>
        <v>9.54070833832548</v>
      </c>
      <c r="S17" s="46">
        <v>6</v>
      </c>
      <c r="T17" s="46">
        <v>1</v>
      </c>
      <c r="U17" s="46">
        <f t="shared" si="7"/>
        <v>7</v>
      </c>
      <c r="V17" s="185"/>
      <c r="W17" s="114">
        <f t="shared" si="0"/>
        <v>1.3629583340464972</v>
      </c>
      <c r="X17" s="113">
        <f t="shared" si="1"/>
        <v>9.079978673438573</v>
      </c>
      <c r="Y17" s="209">
        <f t="shared" si="5"/>
        <v>11.068140507162383</v>
      </c>
      <c r="Z17" s="209"/>
      <c r="AA17" s="97" t="s">
        <v>43</v>
      </c>
    </row>
    <row r="18" spans="2:27" ht="16" customHeight="1">
      <c r="B18" s="225" t="s">
        <v>730</v>
      </c>
      <c r="D18" s="46">
        <v>9</v>
      </c>
      <c r="E18" s="96" t="s">
        <v>41</v>
      </c>
      <c r="F18" s="46" t="s">
        <v>598</v>
      </c>
      <c r="G18" s="46" t="s">
        <v>599</v>
      </c>
      <c r="H18" s="58" t="s">
        <v>600</v>
      </c>
      <c r="I18" s="112">
        <v>6677.9592000000002</v>
      </c>
      <c r="J18" s="112"/>
      <c r="K18" s="46">
        <v>42683</v>
      </c>
      <c r="L18" s="96">
        <f t="shared" si="6"/>
        <v>0.53666923331098626</v>
      </c>
      <c r="M18" s="117">
        <v>100</v>
      </c>
      <c r="N18" s="113">
        <v>0.60594163772327014</v>
      </c>
      <c r="O18" s="185"/>
      <c r="P18" s="53">
        <f t="shared" si="8"/>
        <v>0.60594163772327014</v>
      </c>
      <c r="Q18" s="99">
        <f t="shared" si="4"/>
        <v>18.897291056393893</v>
      </c>
      <c r="S18" s="46">
        <v>6</v>
      </c>
      <c r="T18" s="46">
        <v>1</v>
      </c>
      <c r="U18" s="46">
        <f t="shared" si="7"/>
        <v>7</v>
      </c>
      <c r="V18" s="185"/>
      <c r="W18" s="114">
        <f t="shared" si="0"/>
        <v>2.6996130080562706</v>
      </c>
      <c r="X18" s="113">
        <f t="shared" si="1"/>
        <v>18.027905523589048</v>
      </c>
      <c r="Y18" s="209">
        <f t="shared" si="5"/>
        <v>21.975314982691334</v>
      </c>
      <c r="Z18" s="209"/>
      <c r="AA18" s="97" t="s">
        <v>610</v>
      </c>
    </row>
    <row r="19" spans="2:27" ht="16" customHeight="1">
      <c r="B19" s="225" t="s">
        <v>731</v>
      </c>
      <c r="D19" s="46">
        <v>10</v>
      </c>
      <c r="E19" s="96" t="s">
        <v>41</v>
      </c>
      <c r="F19" s="46" t="s">
        <v>598</v>
      </c>
      <c r="G19" s="46" t="s">
        <v>599</v>
      </c>
      <c r="H19" s="58" t="s">
        <v>600</v>
      </c>
      <c r="I19" s="112">
        <v>7082.0910999999996</v>
      </c>
      <c r="J19" s="112"/>
      <c r="K19" s="46">
        <v>14632</v>
      </c>
      <c r="L19" s="96">
        <f t="shared" si="6"/>
        <v>0.18397357781332968</v>
      </c>
      <c r="M19" s="117">
        <v>100</v>
      </c>
      <c r="N19" s="46">
        <v>0.31</v>
      </c>
      <c r="O19" s="73"/>
      <c r="P19" s="53">
        <f t="shared" si="8"/>
        <v>0.31</v>
      </c>
      <c r="Q19" s="99">
        <f t="shared" si="4"/>
        <v>9.6678621549976622</v>
      </c>
      <c r="S19" s="46">
        <v>6</v>
      </c>
      <c r="T19" s="46">
        <v>1</v>
      </c>
      <c r="U19" s="46">
        <f t="shared" si="7"/>
        <v>7</v>
      </c>
      <c r="V19" s="185"/>
      <c r="W19" s="114">
        <f t="shared" si="0"/>
        <v>1.381123164999666</v>
      </c>
      <c r="X19" s="113">
        <f t="shared" si="1"/>
        <v>9.7812400748479646</v>
      </c>
      <c r="Y19" s="209">
        <f t="shared" si="5"/>
        <v>11.922950854432663</v>
      </c>
      <c r="Z19" s="209"/>
      <c r="AA19" s="97" t="s">
        <v>611</v>
      </c>
    </row>
    <row r="20" spans="2:27" ht="16" customHeight="1">
      <c r="B20" s="225" t="s">
        <v>732</v>
      </c>
      <c r="D20" s="46">
        <v>11</v>
      </c>
      <c r="E20" s="96" t="s">
        <v>111</v>
      </c>
      <c r="F20" s="46" t="s">
        <v>612</v>
      </c>
      <c r="G20" s="46" t="s">
        <v>613</v>
      </c>
      <c r="H20" s="58" t="s">
        <v>600</v>
      </c>
      <c r="I20" s="112">
        <v>13554.051799999999</v>
      </c>
      <c r="J20" s="112"/>
      <c r="K20" s="46">
        <v>171677</v>
      </c>
      <c r="L20" s="96">
        <f t="shared" si="6"/>
        <v>2.1585587697005875</v>
      </c>
      <c r="M20" s="59">
        <f>(K20/SUM(K$20:K$22)*100)</f>
        <v>85.791743499792616</v>
      </c>
      <c r="N20" s="280">
        <v>1.61831003521215</v>
      </c>
      <c r="O20" s="185"/>
      <c r="P20" s="53">
        <f>(M20*1.62)/100</f>
        <v>1.3898262446966405</v>
      </c>
      <c r="Q20" s="99">
        <f t="shared" si="4"/>
        <v>43.344027590726355</v>
      </c>
      <c r="S20" s="46">
        <v>14</v>
      </c>
      <c r="T20" s="46">
        <v>1</v>
      </c>
      <c r="U20" s="46">
        <f t="shared" si="7"/>
        <v>15</v>
      </c>
      <c r="V20" s="185"/>
      <c r="W20" s="114">
        <f t="shared" si="0"/>
        <v>2.8896018393817569</v>
      </c>
      <c r="X20" s="113">
        <f t="shared" si="1"/>
        <v>39.165813012355613</v>
      </c>
      <c r="Y20" s="209">
        <f t="shared" si="5"/>
        <v>47.741601284382504</v>
      </c>
      <c r="Z20" s="209"/>
      <c r="AA20" s="97" t="s">
        <v>614</v>
      </c>
    </row>
    <row r="21" spans="2:27" ht="16" customHeight="1">
      <c r="B21" s="224"/>
      <c r="D21" s="46">
        <v>12</v>
      </c>
      <c r="E21" s="96" t="s">
        <v>111</v>
      </c>
      <c r="F21" s="46" t="s">
        <v>612</v>
      </c>
      <c r="G21" s="46" t="s">
        <v>613</v>
      </c>
      <c r="H21" s="58" t="s">
        <v>600</v>
      </c>
      <c r="I21" s="112">
        <v>13515.9702</v>
      </c>
      <c r="J21" s="112"/>
      <c r="K21" s="46">
        <v>16489</v>
      </c>
      <c r="L21" s="96">
        <f t="shared" si="6"/>
        <v>0.20732232945352608</v>
      </c>
      <c r="M21" s="59">
        <f t="shared" ref="M21:M22" si="9">(K21/SUM(K$20:K$22)*100)</f>
        <v>8.2400091949887315</v>
      </c>
      <c r="N21" s="280"/>
      <c r="O21" s="185"/>
      <c r="P21" s="53">
        <f t="shared" ref="P21:P22" si="10">(M21*1.62)/100</f>
        <v>0.13348814895881747</v>
      </c>
      <c r="Q21" s="99">
        <f t="shared" si="4"/>
        <v>4.1630484627730384</v>
      </c>
      <c r="S21" s="46">
        <v>14</v>
      </c>
      <c r="T21" s="46">
        <v>1</v>
      </c>
      <c r="U21" s="46">
        <f t="shared" si="7"/>
        <v>15</v>
      </c>
      <c r="V21" s="185"/>
      <c r="W21" s="114">
        <f t="shared" si="0"/>
        <v>0.27753656418486922</v>
      </c>
      <c r="X21" s="113">
        <f t="shared" si="1"/>
        <v>3.7511759309330794</v>
      </c>
      <c r="Y21" s="209">
        <f t="shared" si="5"/>
        <v>4.5725374214926413</v>
      </c>
      <c r="Z21" s="209"/>
      <c r="AA21" s="97" t="s">
        <v>615</v>
      </c>
    </row>
    <row r="22" spans="2:27">
      <c r="D22" s="46">
        <v>13</v>
      </c>
      <c r="E22" s="96" t="s">
        <v>111</v>
      </c>
      <c r="F22" s="46" t="s">
        <v>612</v>
      </c>
      <c r="G22" s="46" t="s">
        <v>613</v>
      </c>
      <c r="H22" s="58" t="s">
        <v>600</v>
      </c>
      <c r="I22" s="112">
        <v>13607.985199999999</v>
      </c>
      <c r="J22" s="112"/>
      <c r="K22" s="46">
        <v>11943</v>
      </c>
      <c r="L22" s="96">
        <f t="shared" si="6"/>
        <v>0.15016378074252298</v>
      </c>
      <c r="M22" s="59">
        <f t="shared" si="9"/>
        <v>5.9682473052186564</v>
      </c>
      <c r="N22" s="280"/>
      <c r="O22" s="185"/>
      <c r="P22" s="53">
        <f t="shared" si="10"/>
        <v>9.6685606344542235E-2</v>
      </c>
      <c r="Q22" s="99">
        <f t="shared" si="4"/>
        <v>3.0153003693916181</v>
      </c>
      <c r="S22" s="46">
        <v>14</v>
      </c>
      <c r="T22" s="46">
        <v>1</v>
      </c>
      <c r="U22" s="46">
        <f t="shared" si="7"/>
        <v>15</v>
      </c>
      <c r="V22" s="185"/>
      <c r="W22" s="114">
        <f t="shared" si="0"/>
        <v>0.20102002462610788</v>
      </c>
      <c r="X22" s="113">
        <f t="shared" si="1"/>
        <v>2.7354775200157113</v>
      </c>
      <c r="Y22" s="209">
        <f t="shared" si="5"/>
        <v>3.3344406010870378</v>
      </c>
      <c r="Z22" s="209"/>
      <c r="AA22" s="115" t="s">
        <v>616</v>
      </c>
    </row>
    <row r="23" spans="2:27">
      <c r="D23" s="46">
        <v>14</v>
      </c>
      <c r="E23" s="96" t="s">
        <v>41</v>
      </c>
      <c r="F23" s="118" t="s">
        <v>598</v>
      </c>
      <c r="G23" s="118" t="s">
        <v>599</v>
      </c>
      <c r="H23" s="119" t="s">
        <v>600</v>
      </c>
      <c r="I23" s="112">
        <v>7152.1197000000002</v>
      </c>
      <c r="J23" s="112"/>
      <c r="K23" s="46">
        <v>2547</v>
      </c>
      <c r="L23" s="96">
        <f t="shared" si="6"/>
        <v>3.2024378259332333E-2</v>
      </c>
      <c r="M23" s="59">
        <f>(K23/SUM(K$23:K$26)*100)</f>
        <v>5.5450329828228071</v>
      </c>
      <c r="N23" s="280">
        <v>0.47980887493394098</v>
      </c>
      <c r="O23" s="185"/>
      <c r="P23" s="53">
        <f>(M23*0.48)/100</f>
        <v>2.6616158317549474E-2</v>
      </c>
      <c r="Q23" s="99">
        <f t="shared" si="4"/>
        <v>0.83006887003117025</v>
      </c>
      <c r="S23" s="46">
        <v>6</v>
      </c>
      <c r="T23" s="46">
        <v>1</v>
      </c>
      <c r="U23" s="46">
        <f t="shared" si="7"/>
        <v>7</v>
      </c>
      <c r="V23" s="185"/>
      <c r="W23" s="114">
        <f t="shared" si="0"/>
        <v>0.11858126714731003</v>
      </c>
      <c r="X23" s="113">
        <f t="shared" si="1"/>
        <v>0.84810741681523893</v>
      </c>
      <c r="Y23" s="209">
        <f t="shared" si="5"/>
        <v>1.033809923137492</v>
      </c>
      <c r="Z23" s="209"/>
      <c r="AA23" s="97" t="s">
        <v>617</v>
      </c>
    </row>
    <row r="24" spans="2:27">
      <c r="D24" s="46">
        <v>15</v>
      </c>
      <c r="E24" s="46" t="s">
        <v>41</v>
      </c>
      <c r="F24" s="118" t="s">
        <v>598</v>
      </c>
      <c r="G24" s="118" t="s">
        <v>599</v>
      </c>
      <c r="H24" s="119" t="s">
        <v>600</v>
      </c>
      <c r="I24" s="112">
        <v>7191.1540000000005</v>
      </c>
      <c r="J24" s="112"/>
      <c r="K24" s="46">
        <v>26321</v>
      </c>
      <c r="L24" s="96">
        <f t="shared" si="6"/>
        <v>0.33094372209025774</v>
      </c>
      <c r="M24" s="59">
        <f t="shared" ref="M24:M26" si="11">(K24/SUM(K$23:K$26)*100)</f>
        <v>57.303028323863018</v>
      </c>
      <c r="N24" s="280"/>
      <c r="O24" s="185"/>
      <c r="P24" s="53">
        <f t="shared" ref="P24:P26" si="12">(M24*0.48)/100</f>
        <v>0.27505453595454249</v>
      </c>
      <c r="Q24" s="99">
        <f t="shared" si="4"/>
        <v>8.578030124888274</v>
      </c>
      <c r="S24" s="46">
        <v>6</v>
      </c>
      <c r="T24" s="46">
        <v>1</v>
      </c>
      <c r="U24" s="46">
        <f t="shared" si="7"/>
        <v>7</v>
      </c>
      <c r="V24" s="185"/>
      <c r="W24" s="114">
        <f t="shared" si="0"/>
        <v>1.2254328749840391</v>
      </c>
      <c r="X24" s="113">
        <f t="shared" si="1"/>
        <v>8.8122765206729721</v>
      </c>
      <c r="Y24" s="209">
        <f t="shared" si="5"/>
        <v>10.741822004945304</v>
      </c>
      <c r="Z24" s="209"/>
      <c r="AA24" s="97" t="s">
        <v>618</v>
      </c>
    </row>
    <row r="25" spans="2:27">
      <c r="D25" s="46">
        <v>16</v>
      </c>
      <c r="E25" s="96" t="s">
        <v>619</v>
      </c>
      <c r="H25" s="58"/>
      <c r="I25" s="112">
        <v>7650.3626999999997</v>
      </c>
      <c r="J25" s="112"/>
      <c r="K25" s="46">
        <v>16410</v>
      </c>
      <c r="L25" s="96">
        <f t="shared" si="6"/>
        <v>0.20632903307249453</v>
      </c>
      <c r="M25" s="59">
        <f t="shared" si="11"/>
        <v>35.72594866435896</v>
      </c>
      <c r="N25" s="280"/>
      <c r="O25" s="185"/>
      <c r="P25" s="53">
        <f t="shared" si="12"/>
        <v>0.17148455358892301</v>
      </c>
      <c r="Q25" s="99">
        <f t="shared" si="4"/>
        <v>5.3480291155129587</v>
      </c>
      <c r="S25" s="46">
        <v>8</v>
      </c>
      <c r="T25" s="46">
        <v>0</v>
      </c>
      <c r="U25" s="46">
        <f t="shared" si="7"/>
        <v>8</v>
      </c>
      <c r="V25" s="185"/>
      <c r="W25" s="114">
        <f t="shared" si="0"/>
        <v>0.66850363943911983</v>
      </c>
      <c r="X25" s="113">
        <f t="shared" si="1"/>
        <v>5.1142953079792912</v>
      </c>
      <c r="Y25" s="209">
        <f t="shared" si="5"/>
        <v>6.234126874044696</v>
      </c>
      <c r="Z25" s="209"/>
      <c r="AA25" s="97" t="s">
        <v>619</v>
      </c>
    </row>
    <row r="26" spans="2:27">
      <c r="D26" s="46">
        <v>17</v>
      </c>
      <c r="E26" s="96" t="s">
        <v>111</v>
      </c>
      <c r="F26" s="46" t="s">
        <v>612</v>
      </c>
      <c r="G26" s="46" t="s">
        <v>613</v>
      </c>
      <c r="H26" s="58" t="s">
        <v>600</v>
      </c>
      <c r="I26" s="112">
        <v>13355.018899999999</v>
      </c>
      <c r="J26" s="112"/>
      <c r="K26" s="46">
        <v>655</v>
      </c>
      <c r="L26" s="96">
        <f t="shared" si="6"/>
        <v>8.2355586022232734E-3</v>
      </c>
      <c r="M26" s="59">
        <f t="shared" si="11"/>
        <v>1.4259900289552174</v>
      </c>
      <c r="N26" s="280"/>
      <c r="O26" s="185"/>
      <c r="P26" s="53">
        <f t="shared" si="12"/>
        <v>6.844752138985043E-3</v>
      </c>
      <c r="Q26" s="99">
        <f t="shared" si="4"/>
        <v>0.21346490375752514</v>
      </c>
      <c r="S26" s="46">
        <v>14</v>
      </c>
      <c r="T26" s="46">
        <v>1</v>
      </c>
      <c r="U26" s="46">
        <f t="shared" si="7"/>
        <v>15</v>
      </c>
      <c r="V26" s="185"/>
      <c r="W26" s="114">
        <f t="shared" si="0"/>
        <v>1.4230993583835009E-2</v>
      </c>
      <c r="X26" s="113">
        <f t="shared" si="1"/>
        <v>0.19005518827789528</v>
      </c>
      <c r="Y26" s="209">
        <f t="shared" si="5"/>
        <v>0.2316698754071338</v>
      </c>
      <c r="Z26" s="209"/>
      <c r="AA26" s="97" t="s">
        <v>129</v>
      </c>
    </row>
    <row r="27" spans="2:27">
      <c r="D27" s="46">
        <v>18</v>
      </c>
      <c r="E27" s="96" t="s">
        <v>41</v>
      </c>
      <c r="F27" s="46" t="s">
        <v>598</v>
      </c>
      <c r="G27" s="46" t="s">
        <v>599</v>
      </c>
      <c r="H27" s="58" t="s">
        <v>600</v>
      </c>
      <c r="I27" s="112">
        <v>6678.0767999999998</v>
      </c>
      <c r="J27" s="112"/>
      <c r="K27" s="46">
        <v>7267</v>
      </c>
      <c r="L27" s="96">
        <f t="shared" si="6"/>
        <v>9.1370693682987073E-2</v>
      </c>
      <c r="M27" s="59">
        <v>100</v>
      </c>
      <c r="N27" s="96" t="s">
        <v>620</v>
      </c>
      <c r="O27" s="110"/>
      <c r="P27" s="120"/>
      <c r="Q27" s="99">
        <f t="shared" si="4"/>
        <v>0</v>
      </c>
      <c r="S27" s="46">
        <v>6</v>
      </c>
      <c r="T27" s="46">
        <v>1</v>
      </c>
      <c r="U27" s="46">
        <f t="shared" si="7"/>
        <v>7</v>
      </c>
      <c r="V27" s="219"/>
      <c r="W27" s="114">
        <f t="shared" si="0"/>
        <v>0</v>
      </c>
      <c r="X27" s="113">
        <f t="shared" si="1"/>
        <v>0</v>
      </c>
      <c r="Y27" s="209">
        <f t="shared" si="5"/>
        <v>0</v>
      </c>
      <c r="Z27" s="209"/>
      <c r="AA27" s="115" t="s">
        <v>621</v>
      </c>
    </row>
    <row r="28" spans="2:27">
      <c r="D28" s="46">
        <v>19</v>
      </c>
      <c r="E28" s="96" t="s">
        <v>492</v>
      </c>
      <c r="F28" s="46" t="s">
        <v>622</v>
      </c>
      <c r="G28" s="46" t="s">
        <v>623</v>
      </c>
      <c r="H28" s="58" t="s">
        <v>624</v>
      </c>
      <c r="I28" s="112">
        <v>7345.1220999999996</v>
      </c>
      <c r="J28" s="112"/>
      <c r="K28" s="46">
        <v>389076</v>
      </c>
      <c r="L28" s="96">
        <f t="shared" si="6"/>
        <v>4.8919972499520954</v>
      </c>
      <c r="M28" s="59">
        <f>(K28/SUM(K$28:K$31)*100)</f>
        <v>78.106223789840939</v>
      </c>
      <c r="N28" s="280">
        <v>1.7767832229090004</v>
      </c>
      <c r="O28" s="185"/>
      <c r="P28" s="53">
        <f>(M28*1.78)/100</f>
        <v>1.3902907834591687</v>
      </c>
      <c r="Q28" s="99">
        <f t="shared" si="4"/>
        <v>43.358514999506276</v>
      </c>
      <c r="S28" s="46">
        <v>10</v>
      </c>
      <c r="T28" s="46">
        <v>0</v>
      </c>
      <c r="U28" s="46">
        <f t="shared" si="7"/>
        <v>10</v>
      </c>
      <c r="V28" s="185"/>
      <c r="W28" s="114">
        <f t="shared" si="0"/>
        <v>4.3358514999506275</v>
      </c>
      <c r="X28" s="113">
        <f t="shared" si="1"/>
        <v>31.847358674605502</v>
      </c>
      <c r="Y28" s="209">
        <f t="shared" si="5"/>
        <v>38.820690363917201</v>
      </c>
      <c r="Z28" s="209"/>
      <c r="AA28" s="97" t="s">
        <v>625</v>
      </c>
    </row>
    <row r="29" spans="2:27">
      <c r="D29" s="46">
        <v>20</v>
      </c>
      <c r="E29" s="96" t="s">
        <v>492</v>
      </c>
      <c r="F29" s="46" t="s">
        <v>626</v>
      </c>
      <c r="G29" s="46" t="s">
        <v>627</v>
      </c>
      <c r="H29" s="58" t="s">
        <v>628</v>
      </c>
      <c r="I29" s="112">
        <v>7328.1149999999998</v>
      </c>
      <c r="J29" s="112"/>
      <c r="K29" s="46">
        <v>79633</v>
      </c>
      <c r="L29" s="96">
        <f t="shared" si="6"/>
        <v>1.0012553254516732</v>
      </c>
      <c r="M29" s="59">
        <f t="shared" ref="M29:M31" si="13">(K29/SUM(K$28:K$31)*100)</f>
        <v>15.986164448735989</v>
      </c>
      <c r="N29" s="280"/>
      <c r="O29" s="185"/>
      <c r="P29" s="53">
        <f t="shared" ref="P29:P31" si="14">(M29*1.78)/100</f>
        <v>0.2845537271875006</v>
      </c>
      <c r="Q29" s="99">
        <f t="shared" si="4"/>
        <v>8.8742780972244066</v>
      </c>
      <c r="S29" s="46">
        <v>8</v>
      </c>
      <c r="T29" s="46">
        <v>2</v>
      </c>
      <c r="U29" s="46">
        <f t="shared" si="7"/>
        <v>10</v>
      </c>
      <c r="V29" s="185"/>
      <c r="W29" s="114">
        <f t="shared" si="0"/>
        <v>0.88742780972244062</v>
      </c>
      <c r="X29" s="113">
        <f t="shared" si="1"/>
        <v>6.5031730438441624</v>
      </c>
      <c r="Y29" s="209">
        <f t="shared" si="5"/>
        <v>7.9271147631892083</v>
      </c>
      <c r="Z29" s="209"/>
      <c r="AA29" s="97" t="s">
        <v>419</v>
      </c>
    </row>
    <row r="30" spans="2:27">
      <c r="D30" s="46">
        <v>21</v>
      </c>
      <c r="E30" s="96" t="s">
        <v>492</v>
      </c>
      <c r="F30" s="46" t="s">
        <v>626</v>
      </c>
      <c r="G30" s="46" t="s">
        <v>627</v>
      </c>
      <c r="H30" s="58" t="s">
        <v>628</v>
      </c>
      <c r="I30" s="112">
        <v>7361.1404000000002</v>
      </c>
      <c r="J30" s="112"/>
      <c r="K30" s="46">
        <v>8552</v>
      </c>
      <c r="L30" s="96">
        <f t="shared" si="6"/>
        <v>0.10752747658963883</v>
      </c>
      <c r="M30" s="59">
        <f t="shared" si="13"/>
        <v>1.7167967848202403</v>
      </c>
      <c r="N30" s="280"/>
      <c r="O30" s="185"/>
      <c r="P30" s="53">
        <f t="shared" si="14"/>
        <v>3.0558982769800278E-2</v>
      </c>
      <c r="Q30" s="99">
        <f t="shared" si="4"/>
        <v>0.95303236456573459</v>
      </c>
      <c r="S30" s="46">
        <v>8</v>
      </c>
      <c r="T30" s="46">
        <v>2</v>
      </c>
      <c r="U30" s="46">
        <f t="shared" si="7"/>
        <v>10</v>
      </c>
      <c r="V30" s="185"/>
      <c r="W30" s="114">
        <f t="shared" si="0"/>
        <v>9.5303236456573459E-2</v>
      </c>
      <c r="X30" s="113">
        <f t="shared" si="1"/>
        <v>0.7015405041312357</v>
      </c>
      <c r="Y30" s="209">
        <f t="shared" si="5"/>
        <v>0.85515056262236266</v>
      </c>
      <c r="Z30" s="209"/>
      <c r="AA30" s="97" t="s">
        <v>629</v>
      </c>
    </row>
    <row r="31" spans="2:27">
      <c r="D31" s="46">
        <v>22</v>
      </c>
      <c r="E31" s="96" t="s">
        <v>492</v>
      </c>
      <c r="F31" s="46" t="s">
        <v>630</v>
      </c>
      <c r="G31" s="46" t="s">
        <v>631</v>
      </c>
      <c r="H31" s="58" t="s">
        <v>608</v>
      </c>
      <c r="I31" s="112">
        <v>7398.0544</v>
      </c>
      <c r="J31" s="112"/>
      <c r="K31" s="46">
        <v>20876</v>
      </c>
      <c r="L31" s="96">
        <f t="shared" si="6"/>
        <v>0.26248171203055431</v>
      </c>
      <c r="M31" s="59">
        <f t="shared" si="13"/>
        <v>4.1908149766028222</v>
      </c>
      <c r="N31" s="280"/>
      <c r="O31" s="185"/>
      <c r="P31" s="53">
        <f t="shared" si="14"/>
        <v>7.4596506583530231E-2</v>
      </c>
      <c r="Q31" s="99">
        <f t="shared" si="4"/>
        <v>2.3264152996578895</v>
      </c>
      <c r="S31" s="46">
        <v>10</v>
      </c>
      <c r="T31" s="46">
        <v>0</v>
      </c>
      <c r="U31" s="46">
        <f t="shared" si="7"/>
        <v>10</v>
      </c>
      <c r="V31" s="185"/>
      <c r="W31" s="114">
        <f t="shared" si="0"/>
        <v>0.23264152996578896</v>
      </c>
      <c r="X31" s="113">
        <f t="shared" si="1"/>
        <v>1.7210946943861367</v>
      </c>
      <c r="Y31" s="209">
        <f t="shared" si="5"/>
        <v>2.097947427929753</v>
      </c>
      <c r="Z31" s="209"/>
      <c r="AA31" s="97" t="s">
        <v>632</v>
      </c>
    </row>
    <row r="32" spans="2:27">
      <c r="D32" s="46">
        <v>23</v>
      </c>
      <c r="E32" s="96" t="s">
        <v>492</v>
      </c>
      <c r="F32" s="46" t="s">
        <v>630</v>
      </c>
      <c r="G32" s="46" t="s">
        <v>631</v>
      </c>
      <c r="H32" s="58" t="s">
        <v>608</v>
      </c>
      <c r="I32" s="112">
        <v>7395.4260000000004</v>
      </c>
      <c r="J32" s="112"/>
      <c r="K32" s="46">
        <v>1161939</v>
      </c>
      <c r="L32" s="96">
        <f t="shared" si="6"/>
        <v>14.609491185814822</v>
      </c>
      <c r="M32" s="59">
        <f>(K32/SUM(K$32:K$34)*100)</f>
        <v>88.569241991952126</v>
      </c>
      <c r="N32" s="280">
        <v>2.5861153910988173</v>
      </c>
      <c r="O32" s="185"/>
      <c r="P32" s="53">
        <f>(M32*2.59)/100</f>
        <v>2.2939433675915599</v>
      </c>
      <c r="Q32" s="99">
        <f t="shared" si="4"/>
        <v>71.54041377176236</v>
      </c>
      <c r="S32" s="46">
        <v>10</v>
      </c>
      <c r="T32" s="46">
        <v>0</v>
      </c>
      <c r="U32" s="46">
        <f t="shared" si="7"/>
        <v>10</v>
      </c>
      <c r="V32" s="185"/>
      <c r="W32" s="114">
        <f t="shared" si="0"/>
        <v>7.1540413771762363</v>
      </c>
      <c r="X32" s="113">
        <f t="shared" si="1"/>
        <v>52.907183605844949</v>
      </c>
      <c r="Y32" s="209">
        <f t="shared" si="5"/>
        <v>64.491797067841603</v>
      </c>
      <c r="Z32" s="209"/>
      <c r="AA32" s="97" t="s">
        <v>632</v>
      </c>
    </row>
    <row r="33" spans="4:27">
      <c r="D33" s="46">
        <v>24</v>
      </c>
      <c r="E33" s="96" t="s">
        <v>41</v>
      </c>
      <c r="F33" s="46" t="s">
        <v>633</v>
      </c>
      <c r="G33" s="46" t="s">
        <v>634</v>
      </c>
      <c r="H33" s="58" t="s">
        <v>600</v>
      </c>
      <c r="I33" s="112">
        <v>6338.9192999999996</v>
      </c>
      <c r="J33" s="112"/>
      <c r="K33" s="46">
        <v>86557</v>
      </c>
      <c r="L33" s="96">
        <f t="shared" si="6"/>
        <v>1.0883133525689159</v>
      </c>
      <c r="M33" s="59">
        <f t="shared" ref="M33:M34" si="15">(K33/SUM(K$32:K$34)*100)</f>
        <v>6.5978402300786874</v>
      </c>
      <c r="N33" s="280"/>
      <c r="O33" s="185"/>
      <c r="P33" s="53">
        <f t="shared" ref="P33:P34" si="16">(M33*2.59)/100</f>
        <v>0.17088406195903802</v>
      </c>
      <c r="Q33" s="99">
        <f t="shared" si="4"/>
        <v>5.3293017919550296</v>
      </c>
      <c r="S33" s="46">
        <v>6</v>
      </c>
      <c r="T33" s="46">
        <v>0</v>
      </c>
      <c r="U33" s="46">
        <f t="shared" si="7"/>
        <v>6</v>
      </c>
      <c r="V33" s="185"/>
      <c r="W33" s="114">
        <f t="shared" si="0"/>
        <v>0.88821696532583827</v>
      </c>
      <c r="X33" s="113">
        <f t="shared" si="1"/>
        <v>5.630335664091386</v>
      </c>
      <c r="Y33" s="209">
        <f t="shared" si="5"/>
        <v>6.863159978001514</v>
      </c>
      <c r="Z33" s="209"/>
      <c r="AA33" s="115" t="s">
        <v>49</v>
      </c>
    </row>
    <row r="34" spans="4:27">
      <c r="D34" s="46">
        <v>25</v>
      </c>
      <c r="E34" s="96" t="s">
        <v>41</v>
      </c>
      <c r="F34" s="46" t="s">
        <v>598</v>
      </c>
      <c r="G34" s="46" t="s">
        <v>599</v>
      </c>
      <c r="H34" s="58" t="s">
        <v>600</v>
      </c>
      <c r="I34" s="112">
        <v>6634.7538999999997</v>
      </c>
      <c r="J34" s="112"/>
      <c r="K34" s="46">
        <v>63403</v>
      </c>
      <c r="L34" s="96">
        <f t="shared" si="6"/>
        <v>0.79718949932330119</v>
      </c>
      <c r="M34" s="59">
        <f t="shared" si="15"/>
        <v>4.8329177779691879</v>
      </c>
      <c r="N34" s="280"/>
      <c r="O34" s="185"/>
      <c r="P34" s="53">
        <f t="shared" si="16"/>
        <v>0.12517257044940197</v>
      </c>
      <c r="Q34" s="99">
        <f t="shared" si="4"/>
        <v>3.9037134086824254</v>
      </c>
      <c r="S34" s="46">
        <v>6</v>
      </c>
      <c r="T34" s="46">
        <v>1</v>
      </c>
      <c r="U34" s="46">
        <f t="shared" si="7"/>
        <v>7</v>
      </c>
      <c r="V34" s="185"/>
      <c r="W34" s="114">
        <f t="shared" si="0"/>
        <v>0.55767334409748937</v>
      </c>
      <c r="X34" s="113">
        <f t="shared" si="1"/>
        <v>3.7000253946768593</v>
      </c>
      <c r="Y34" s="209">
        <f t="shared" si="5"/>
        <v>4.5101869091553528</v>
      </c>
      <c r="Z34" s="209"/>
      <c r="AA34" s="97" t="s">
        <v>635</v>
      </c>
    </row>
    <row r="35" spans="4:27">
      <c r="D35" s="46">
        <v>26</v>
      </c>
      <c r="E35" s="96" t="s">
        <v>41</v>
      </c>
      <c r="F35" s="46" t="s">
        <v>598</v>
      </c>
      <c r="G35" s="46" t="s">
        <v>599</v>
      </c>
      <c r="H35" s="58" t="s">
        <v>600</v>
      </c>
      <c r="I35" s="112">
        <v>6617.8643000000002</v>
      </c>
      <c r="J35" s="112"/>
      <c r="K35" s="46">
        <v>23858</v>
      </c>
      <c r="L35" s="96">
        <f t="shared" si="6"/>
        <v>0.29997550707151582</v>
      </c>
      <c r="M35" s="59">
        <f>(K35/SUM(K$35:K$38)*100)</f>
        <v>18.305277210858257</v>
      </c>
      <c r="N35" s="280">
        <v>0.91662198810258977</v>
      </c>
      <c r="O35" s="185"/>
      <c r="P35" s="53">
        <f>(M35*0.92)/100</f>
        <v>0.16840855033989599</v>
      </c>
      <c r="Q35" s="99">
        <f t="shared" si="4"/>
        <v>5.2520988722874158</v>
      </c>
      <c r="S35" s="46">
        <v>6</v>
      </c>
      <c r="T35" s="46">
        <v>1</v>
      </c>
      <c r="U35" s="46">
        <f t="shared" si="7"/>
        <v>7</v>
      </c>
      <c r="V35" s="185"/>
      <c r="W35" s="114">
        <f t="shared" si="0"/>
        <v>0.75029983889820229</v>
      </c>
      <c r="X35" s="113">
        <f t="shared" si="1"/>
        <v>4.9653825181401645</v>
      </c>
      <c r="Y35" s="209">
        <f t="shared" si="5"/>
        <v>6.0526079806056172</v>
      </c>
      <c r="Z35" s="209"/>
      <c r="AA35" s="97" t="s">
        <v>636</v>
      </c>
    </row>
    <row r="36" spans="4:27">
      <c r="D36" s="46">
        <v>27</v>
      </c>
      <c r="E36" s="121" t="s">
        <v>492</v>
      </c>
      <c r="F36" s="118" t="s">
        <v>626</v>
      </c>
      <c r="G36" s="118" t="s">
        <v>627</v>
      </c>
      <c r="H36" s="119" t="s">
        <v>628</v>
      </c>
      <c r="I36" s="112">
        <v>7378.3891999999996</v>
      </c>
      <c r="J36" s="112"/>
      <c r="K36" s="46">
        <v>21941</v>
      </c>
      <c r="L36" s="96">
        <f t="shared" si="6"/>
        <v>0.27587235311661201</v>
      </c>
      <c r="M36" s="59">
        <f t="shared" ref="M36:M38" si="17">(K36/SUM(K$35:K$38)*100)</f>
        <v>16.834440744548619</v>
      </c>
      <c r="N36" s="280"/>
      <c r="O36" s="185"/>
      <c r="P36" s="53">
        <f t="shared" ref="P36:P38" si="18">(M36*0.92)/100</f>
        <v>0.15487685484984731</v>
      </c>
      <c r="Q36" s="99">
        <f t="shared" si="4"/>
        <v>4.8300905925416293</v>
      </c>
      <c r="S36" s="46">
        <v>8</v>
      </c>
      <c r="T36" s="46">
        <v>0</v>
      </c>
      <c r="U36" s="46">
        <f t="shared" si="7"/>
        <v>8</v>
      </c>
      <c r="V36" s="185"/>
      <c r="W36" s="114">
        <f t="shared" si="0"/>
        <v>0.60376132406770366</v>
      </c>
      <c r="X36" s="113">
        <f t="shared" si="1"/>
        <v>4.4547860328788449</v>
      </c>
      <c r="Y36" s="209">
        <f t="shared" si="5"/>
        <v>5.4302107432786935</v>
      </c>
      <c r="Z36" s="209"/>
      <c r="AA36" s="97" t="s">
        <v>637</v>
      </c>
    </row>
    <row r="37" spans="4:27">
      <c r="D37" s="46">
        <v>28</v>
      </c>
      <c r="E37" s="96" t="s">
        <v>619</v>
      </c>
      <c r="H37" s="58"/>
      <c r="I37" s="112">
        <v>7720.8410000000003</v>
      </c>
      <c r="J37" s="112"/>
      <c r="K37" s="46">
        <v>35518</v>
      </c>
      <c r="L37" s="96">
        <f t="shared" si="6"/>
        <v>0.44658102356300189</v>
      </c>
      <c r="M37" s="59">
        <f t="shared" si="17"/>
        <v>27.251523010112482</v>
      </c>
      <c r="N37" s="280"/>
      <c r="O37" s="185"/>
      <c r="P37" s="53">
        <f t="shared" si="18"/>
        <v>0.25071401169303487</v>
      </c>
      <c r="Q37" s="99">
        <f t="shared" si="4"/>
        <v>7.818930662499139</v>
      </c>
      <c r="S37" s="46">
        <v>8</v>
      </c>
      <c r="T37" s="46">
        <v>0</v>
      </c>
      <c r="U37" s="46">
        <f t="shared" si="7"/>
        <v>8</v>
      </c>
      <c r="V37" s="185"/>
      <c r="W37" s="114">
        <f t="shared" si="0"/>
        <v>0.97736633281239238</v>
      </c>
      <c r="X37" s="113">
        <f t="shared" si="1"/>
        <v>7.5460900543975651</v>
      </c>
      <c r="Y37" s="209">
        <f t="shared" si="5"/>
        <v>9.1983899968945142</v>
      </c>
      <c r="Z37" s="209"/>
      <c r="AA37" s="97" t="s">
        <v>619</v>
      </c>
    </row>
    <row r="38" spans="4:27">
      <c r="D38" s="46">
        <v>29</v>
      </c>
      <c r="E38" s="96" t="s">
        <v>41</v>
      </c>
      <c r="F38" s="46" t="s">
        <v>598</v>
      </c>
      <c r="G38" s="46" t="s">
        <v>599</v>
      </c>
      <c r="H38" s="58" t="s">
        <v>600</v>
      </c>
      <c r="I38" s="112">
        <v>6617.8643000000002</v>
      </c>
      <c r="J38" s="112"/>
      <c r="K38" s="46">
        <v>49017</v>
      </c>
      <c r="L38" s="96">
        <f t="shared" si="6"/>
        <v>0.61630897100027204</v>
      </c>
      <c r="M38" s="59">
        <f t="shared" si="17"/>
        <v>37.608759034480642</v>
      </c>
      <c r="N38" s="280"/>
      <c r="O38" s="185"/>
      <c r="P38" s="53">
        <f t="shared" si="18"/>
        <v>0.34600058311722193</v>
      </c>
      <c r="Q38" s="99">
        <f t="shared" si="4"/>
        <v>10.790599816535847</v>
      </c>
      <c r="S38" s="46">
        <v>6</v>
      </c>
      <c r="T38" s="46">
        <v>1</v>
      </c>
      <c r="U38" s="46">
        <f t="shared" si="7"/>
        <v>7</v>
      </c>
      <c r="V38" s="185"/>
      <c r="W38" s="114">
        <f t="shared" si="0"/>
        <v>1.541514259505121</v>
      </c>
      <c r="X38" s="113">
        <f t="shared" si="1"/>
        <v>10.201532185919875</v>
      </c>
      <c r="Y38" s="209">
        <f t="shared" si="5"/>
        <v>12.435270575293215</v>
      </c>
      <c r="Z38" s="209"/>
      <c r="AA38" s="97" t="s">
        <v>636</v>
      </c>
    </row>
    <row r="39" spans="4:27">
      <c r="D39" s="46">
        <v>30</v>
      </c>
      <c r="E39" s="96" t="s">
        <v>41</v>
      </c>
      <c r="F39" s="46" t="s">
        <v>633</v>
      </c>
      <c r="G39" s="46" t="s">
        <v>634</v>
      </c>
      <c r="H39" s="58" t="s">
        <v>600</v>
      </c>
      <c r="I39" s="112">
        <v>6389.8216000000002</v>
      </c>
      <c r="J39" s="112"/>
      <c r="K39" s="46">
        <v>99292</v>
      </c>
      <c r="L39" s="96">
        <f t="shared" si="6"/>
        <v>1.2484352438655775</v>
      </c>
      <c r="M39" s="59">
        <f>(K39/SUM(K$39:K$40)*100)</f>
        <v>93.628417052494612</v>
      </c>
      <c r="N39" s="280">
        <v>0.84763073194433436</v>
      </c>
      <c r="O39" s="185"/>
      <c r="P39" s="53">
        <f>(M39*0.85)/100</f>
        <v>0.79584154494620418</v>
      </c>
      <c r="Q39" s="99">
        <f t="shared" si="4"/>
        <v>24.819633399226703</v>
      </c>
      <c r="S39" s="46">
        <v>6</v>
      </c>
      <c r="T39" s="46">
        <v>0</v>
      </c>
      <c r="U39" s="46">
        <f t="shared" si="7"/>
        <v>6</v>
      </c>
      <c r="V39" s="185"/>
      <c r="W39" s="114">
        <f t="shared" si="0"/>
        <v>4.1366055665377841</v>
      </c>
      <c r="X39" s="113">
        <f t="shared" si="1"/>
        <v>26.43217159974337</v>
      </c>
      <c r="Y39" s="209">
        <f t="shared" si="5"/>
        <v>32.219788140162741</v>
      </c>
      <c r="Z39" s="209"/>
      <c r="AA39" s="115" t="s">
        <v>638</v>
      </c>
    </row>
    <row r="40" spans="4:27">
      <c r="D40" s="46">
        <v>31</v>
      </c>
      <c r="E40" s="96" t="s">
        <v>41</v>
      </c>
      <c r="F40" s="46" t="s">
        <v>633</v>
      </c>
      <c r="G40" s="46" t="s">
        <v>634</v>
      </c>
      <c r="H40" s="58" t="s">
        <v>600</v>
      </c>
      <c r="I40" s="112">
        <v>6442.7251999999999</v>
      </c>
      <c r="J40" s="112"/>
      <c r="K40" s="46">
        <v>6757</v>
      </c>
      <c r="L40" s="96">
        <f t="shared" si="6"/>
        <v>8.4958274007973539E-2</v>
      </c>
      <c r="M40" s="59">
        <f>(K40/SUM(K$39:K$40)*100)</f>
        <v>6.3715829475053987</v>
      </c>
      <c r="N40" s="280"/>
      <c r="O40" s="185"/>
      <c r="P40" s="53">
        <f>(M40*0.85)/100</f>
        <v>5.4158455053795886E-2</v>
      </c>
      <c r="Q40" s="99">
        <f t="shared" si="4"/>
        <v>1.6890208967346294</v>
      </c>
      <c r="S40" s="46">
        <v>6</v>
      </c>
      <c r="T40" s="46">
        <v>0</v>
      </c>
      <c r="U40" s="46">
        <f t="shared" si="7"/>
        <v>6</v>
      </c>
      <c r="V40" s="185"/>
      <c r="W40" s="114">
        <f t="shared" si="0"/>
        <v>0.28150348278910492</v>
      </c>
      <c r="X40" s="113">
        <f t="shared" si="1"/>
        <v>1.8136495824531325</v>
      </c>
      <c r="Y40" s="209">
        <f t="shared" si="5"/>
        <v>2.2107682331973773</v>
      </c>
      <c r="Z40" s="209"/>
      <c r="AA40" s="115" t="s">
        <v>639</v>
      </c>
    </row>
    <row r="41" spans="4:27">
      <c r="D41" s="46">
        <v>32</v>
      </c>
      <c r="E41" s="96" t="s">
        <v>41</v>
      </c>
      <c r="F41" s="46" t="s">
        <v>598</v>
      </c>
      <c r="G41" s="46" t="s">
        <v>599</v>
      </c>
      <c r="H41" s="58" t="s">
        <v>600</v>
      </c>
      <c r="I41" s="112">
        <v>6601.8726999999999</v>
      </c>
      <c r="J41" s="112"/>
      <c r="K41" s="46">
        <v>280403</v>
      </c>
      <c r="L41" s="96">
        <f t="shared" si="6"/>
        <v>3.5256112041820038</v>
      </c>
      <c r="M41" s="59">
        <f>(K41/SUM(K$41:K$42)*100)</f>
        <v>95.375818883121653</v>
      </c>
      <c r="N41" s="113">
        <v>0.30979227671061571</v>
      </c>
      <c r="O41" s="185"/>
      <c r="P41" s="53">
        <f>(M41*0.31)/100</f>
        <v>0.29566503853767712</v>
      </c>
      <c r="Q41" s="99">
        <f t="shared" si="4"/>
        <v>9.2208026988204317</v>
      </c>
      <c r="S41" s="46">
        <v>6</v>
      </c>
      <c r="T41" s="46">
        <v>1</v>
      </c>
      <c r="U41" s="46">
        <f t="shared" si="7"/>
        <v>7</v>
      </c>
      <c r="V41" s="185"/>
      <c r="W41" s="114">
        <f t="shared" si="0"/>
        <v>1.3172575284029189</v>
      </c>
      <c r="X41" s="113">
        <f t="shared" si="1"/>
        <v>8.6963665156327039</v>
      </c>
      <c r="Y41" s="209">
        <f t="shared" si="5"/>
        <v>10.600532221333317</v>
      </c>
      <c r="Z41" s="209"/>
      <c r="AA41" s="97" t="s">
        <v>640</v>
      </c>
    </row>
    <row r="42" spans="4:27">
      <c r="D42" s="46">
        <v>33</v>
      </c>
      <c r="E42" s="96" t="s">
        <v>492</v>
      </c>
      <c r="F42" s="46" t="s">
        <v>641</v>
      </c>
      <c r="G42" s="46" t="s">
        <v>642</v>
      </c>
      <c r="H42" s="58" t="s">
        <v>608</v>
      </c>
      <c r="I42" s="112">
        <v>6654.7794999999996</v>
      </c>
      <c r="J42" s="112"/>
      <c r="K42" s="46">
        <v>13595</v>
      </c>
      <c r="L42" s="96">
        <f t="shared" si="6"/>
        <v>0.17093499114080216</v>
      </c>
      <c r="M42" s="59">
        <f>(K42/SUM(K$41:K$42)*100)</f>
        <v>4.6241811168783462</v>
      </c>
      <c r="N42" s="122"/>
      <c r="O42" s="186"/>
      <c r="P42" s="53">
        <f>(M42*0.31)/100</f>
        <v>1.4334961462322873E-2</v>
      </c>
      <c r="Q42" s="99">
        <f t="shared" si="4"/>
        <v>0.44705945617722981</v>
      </c>
      <c r="S42" s="46">
        <v>8</v>
      </c>
      <c r="T42" s="46">
        <v>0</v>
      </c>
      <c r="U42" s="46">
        <f t="shared" si="7"/>
        <v>8</v>
      </c>
      <c r="V42" s="185"/>
      <c r="W42" s="114">
        <f t="shared" si="0"/>
        <v>5.5882432022153726E-2</v>
      </c>
      <c r="X42" s="113">
        <f t="shared" si="1"/>
        <v>0.37188526303117214</v>
      </c>
      <c r="Y42" s="209">
        <f t="shared" si="5"/>
        <v>0.45331365764246911</v>
      </c>
      <c r="Z42" s="209"/>
      <c r="AA42" s="97" t="s">
        <v>643</v>
      </c>
    </row>
    <row r="43" spans="4:27">
      <c r="D43" s="46">
        <v>34</v>
      </c>
      <c r="E43" s="96" t="s">
        <v>492</v>
      </c>
      <c r="F43" s="118" t="s">
        <v>626</v>
      </c>
      <c r="G43" s="118" t="s">
        <v>627</v>
      </c>
      <c r="H43" s="58" t="s">
        <v>644</v>
      </c>
      <c r="I43" s="112">
        <v>7378.2708000000002</v>
      </c>
      <c r="J43" s="112"/>
      <c r="K43" s="46">
        <v>117229</v>
      </c>
      <c r="L43" s="96">
        <f t="shared" si="6"/>
        <v>1.4739638158473773</v>
      </c>
      <c r="M43" s="117">
        <v>100</v>
      </c>
      <c r="N43" s="112">
        <v>0.11148883025573819</v>
      </c>
      <c r="O43" s="187"/>
      <c r="P43" s="59">
        <f>(M43*N43)/100</f>
        <v>0.11148883025573821</v>
      </c>
      <c r="Q43" s="99">
        <f t="shared" si="4"/>
        <v>3.4769633636593862</v>
      </c>
      <c r="S43" s="46">
        <v>8</v>
      </c>
      <c r="T43" s="46">
        <v>0</v>
      </c>
      <c r="U43" s="46">
        <f t="shared" si="7"/>
        <v>8</v>
      </c>
      <c r="V43" s="187"/>
      <c r="W43" s="114">
        <f t="shared" si="0"/>
        <v>0.43462042045742327</v>
      </c>
      <c r="X43" s="113">
        <f t="shared" si="1"/>
        <v>3.2067471573447288</v>
      </c>
      <c r="Y43" s="209">
        <f t="shared" si="5"/>
        <v>3.9088999418314692</v>
      </c>
      <c r="Z43" s="209"/>
      <c r="AA43" s="97" t="s">
        <v>637</v>
      </c>
    </row>
    <row r="44" spans="4:27">
      <c r="D44" s="46">
        <v>35</v>
      </c>
      <c r="E44" s="96" t="s">
        <v>492</v>
      </c>
      <c r="F44" s="46" t="s">
        <v>626</v>
      </c>
      <c r="G44" s="46" t="s">
        <v>627</v>
      </c>
      <c r="H44" s="58" t="s">
        <v>628</v>
      </c>
      <c r="I44" s="112">
        <v>7361.2604000000001</v>
      </c>
      <c r="J44" s="112"/>
      <c r="K44" s="46">
        <v>192453</v>
      </c>
      <c r="L44" s="96">
        <f t="shared" si="6"/>
        <v>2.4197831445399629</v>
      </c>
      <c r="M44" s="117">
        <v>100</v>
      </c>
      <c r="N44" s="113">
        <v>0.25422888008316191</v>
      </c>
      <c r="O44" s="185"/>
      <c r="P44" s="59">
        <f t="shared" ref="P44:P46" si="19">(M44*N44)/100</f>
        <v>0.25422888008316191</v>
      </c>
      <c r="Q44" s="99">
        <f t="shared" si="4"/>
        <v>7.928547640204644</v>
      </c>
      <c r="S44" s="46">
        <v>8</v>
      </c>
      <c r="T44" s="46">
        <v>2</v>
      </c>
      <c r="U44" s="46">
        <f t="shared" si="7"/>
        <v>10</v>
      </c>
      <c r="V44" s="185"/>
      <c r="W44" s="114">
        <f t="shared" si="0"/>
        <v>0.7928547640204644</v>
      </c>
      <c r="X44" s="113">
        <f t="shared" si="1"/>
        <v>5.8364103773351896</v>
      </c>
      <c r="Y44" s="209">
        <f t="shared" si="5"/>
        <v>7.1143570306804778</v>
      </c>
      <c r="Z44" s="209"/>
      <c r="AA44" s="97" t="s">
        <v>629</v>
      </c>
    </row>
    <row r="45" spans="4:27" ht="12.75" customHeight="1">
      <c r="D45" s="46">
        <v>36</v>
      </c>
      <c r="E45" s="96" t="s">
        <v>492</v>
      </c>
      <c r="F45" s="46" t="s">
        <v>622</v>
      </c>
      <c r="G45" s="46" t="s">
        <v>623</v>
      </c>
      <c r="H45" s="58" t="s">
        <v>624</v>
      </c>
      <c r="I45" s="112">
        <v>7345.2430999999997</v>
      </c>
      <c r="J45" s="112"/>
      <c r="K45" s="46">
        <v>49182</v>
      </c>
      <c r="L45" s="96">
        <f t="shared" si="6"/>
        <v>0.61838357736571758</v>
      </c>
      <c r="M45" s="117">
        <v>100</v>
      </c>
      <c r="N45" s="113">
        <v>0.22661659651982355</v>
      </c>
      <c r="O45" s="185"/>
      <c r="P45" s="59">
        <f t="shared" si="19"/>
        <v>0.22661659651982355</v>
      </c>
      <c r="Q45" s="99">
        <f t="shared" si="4"/>
        <v>7.0674129586721834</v>
      </c>
      <c r="S45" s="46">
        <v>10</v>
      </c>
      <c r="T45" s="46">
        <v>0</v>
      </c>
      <c r="U45" s="46">
        <f t="shared" si="7"/>
        <v>10</v>
      </c>
      <c r="V45" s="185"/>
      <c r="W45" s="114">
        <f t="shared" si="0"/>
        <v>0.70674129586721834</v>
      </c>
      <c r="X45" s="113">
        <f t="shared" si="1"/>
        <v>5.1911866269537441</v>
      </c>
      <c r="Y45" s="209">
        <f t="shared" si="5"/>
        <v>6.327854398392283</v>
      </c>
      <c r="Z45" s="209"/>
      <c r="AA45" s="97" t="s">
        <v>625</v>
      </c>
    </row>
    <row r="46" spans="4:27">
      <c r="D46" s="46">
        <v>37</v>
      </c>
      <c r="E46" s="96" t="s">
        <v>492</v>
      </c>
      <c r="F46" s="46" t="s">
        <v>626</v>
      </c>
      <c r="G46" s="46" t="s">
        <v>627</v>
      </c>
      <c r="H46" s="58" t="s">
        <v>628</v>
      </c>
      <c r="I46" s="112">
        <v>7328.24</v>
      </c>
      <c r="J46" s="112"/>
      <c r="K46" s="46">
        <v>15815</v>
      </c>
      <c r="L46" s="96">
        <f t="shared" si="6"/>
        <v>0.19884787678497873</v>
      </c>
      <c r="M46" s="117">
        <v>100</v>
      </c>
      <c r="N46" s="113">
        <v>0.25422888008316191</v>
      </c>
      <c r="O46" s="185"/>
      <c r="P46" s="59">
        <f t="shared" si="19"/>
        <v>0.25422888008316191</v>
      </c>
      <c r="Q46" s="99">
        <f t="shared" si="4"/>
        <v>7.928547640204644</v>
      </c>
      <c r="S46" s="46">
        <v>8</v>
      </c>
      <c r="T46" s="46">
        <v>2</v>
      </c>
      <c r="U46" s="46">
        <f t="shared" si="7"/>
        <v>10</v>
      </c>
      <c r="V46" s="185"/>
      <c r="W46" s="114">
        <f t="shared" si="0"/>
        <v>0.7928547640204644</v>
      </c>
      <c r="X46" s="113">
        <f t="shared" si="1"/>
        <v>5.8102299958853285</v>
      </c>
      <c r="Y46" s="209">
        <f t="shared" si="5"/>
        <v>7.0824441649304921</v>
      </c>
      <c r="Z46" s="209"/>
      <c r="AA46" s="97" t="s">
        <v>419</v>
      </c>
    </row>
    <row r="47" spans="4:27">
      <c r="D47" s="46">
        <v>38</v>
      </c>
      <c r="E47" s="121" t="s">
        <v>492</v>
      </c>
      <c r="F47" s="118" t="s">
        <v>626</v>
      </c>
      <c r="G47" s="118" t="s">
        <v>627</v>
      </c>
      <c r="H47" s="119" t="s">
        <v>628</v>
      </c>
      <c r="I47" s="112">
        <v>7378.4432999999999</v>
      </c>
      <c r="J47" s="112"/>
      <c r="K47" s="46">
        <v>2817</v>
      </c>
      <c r="L47" s="96">
        <f t="shared" si="6"/>
        <v>3.5419188675515974E-2</v>
      </c>
      <c r="M47" s="59">
        <f>(K47/SUM(K$47:K$50)*100)</f>
        <v>0.30314378506815082</v>
      </c>
      <c r="N47" s="280">
        <v>2.3829337281327492</v>
      </c>
      <c r="O47" s="185"/>
      <c r="P47" s="53">
        <f>(M47*2.38)/100</f>
        <v>7.2148220846219892E-3</v>
      </c>
      <c r="Q47" s="99">
        <f t="shared" si="4"/>
        <v>0.22500614640954278</v>
      </c>
      <c r="S47" s="46">
        <v>8</v>
      </c>
      <c r="T47" s="46">
        <v>0</v>
      </c>
      <c r="U47" s="46">
        <f t="shared" si="7"/>
        <v>8</v>
      </c>
      <c r="V47" s="185"/>
      <c r="W47" s="114">
        <f t="shared" si="0"/>
        <v>2.8125768301192847E-2</v>
      </c>
      <c r="X47" s="113">
        <f t="shared" si="1"/>
        <v>0.20752438667928874</v>
      </c>
      <c r="Y47" s="209">
        <f t="shared" si="5"/>
        <v>0.25296414815908702</v>
      </c>
      <c r="Z47" s="209"/>
      <c r="AA47" s="97" t="s">
        <v>637</v>
      </c>
    </row>
    <row r="48" spans="4:27">
      <c r="D48" s="46">
        <v>39</v>
      </c>
      <c r="E48" s="96" t="s">
        <v>111</v>
      </c>
      <c r="F48" s="46" t="s">
        <v>645</v>
      </c>
      <c r="G48" s="46" t="s">
        <v>646</v>
      </c>
      <c r="H48" s="58" t="s">
        <v>600</v>
      </c>
      <c r="I48" s="112">
        <v>13333.4738</v>
      </c>
      <c r="J48" s="112"/>
      <c r="K48" s="46">
        <v>882032</v>
      </c>
      <c r="L48" s="96">
        <f t="shared" si="6"/>
        <v>11.090116374101067</v>
      </c>
      <c r="M48" s="59">
        <f t="shared" ref="M48:M50" si="20">(K48/SUM(K$47:K$50)*100)</f>
        <v>94.917472144562026</v>
      </c>
      <c r="N48" s="280"/>
      <c r="O48" s="185"/>
      <c r="P48" s="53">
        <f t="shared" ref="P48:P50" si="21">(M48*2.38)/100</f>
        <v>2.2590358370405763</v>
      </c>
      <c r="Q48" s="99">
        <f t="shared" si="4"/>
        <v>70.451764760348567</v>
      </c>
      <c r="S48" s="46">
        <v>14</v>
      </c>
      <c r="T48" s="46">
        <v>1</v>
      </c>
      <c r="U48" s="46">
        <f t="shared" si="7"/>
        <v>15</v>
      </c>
      <c r="V48" s="185"/>
      <c r="W48" s="114">
        <f t="shared" si="0"/>
        <v>4.6967843173565713</v>
      </c>
      <c r="X48" s="113">
        <f t="shared" si="1"/>
        <v>62.624450639724721</v>
      </c>
      <c r="Y48" s="209">
        <f t="shared" si="5"/>
        <v>76.336767275890409</v>
      </c>
      <c r="Z48" s="209"/>
      <c r="AA48" s="123" t="s">
        <v>136</v>
      </c>
    </row>
    <row r="49" spans="4:28">
      <c r="D49" s="46">
        <v>40</v>
      </c>
      <c r="E49" s="96" t="s">
        <v>111</v>
      </c>
      <c r="F49" s="46" t="s">
        <v>645</v>
      </c>
      <c r="G49" s="46" t="s">
        <v>646</v>
      </c>
      <c r="H49" s="58" t="s">
        <v>600</v>
      </c>
      <c r="I49" s="112">
        <v>13316.4581</v>
      </c>
      <c r="J49" s="112"/>
      <c r="K49" s="46">
        <v>38517</v>
      </c>
      <c r="L49" s="96">
        <f t="shared" si="6"/>
        <v>0.48428856592646385</v>
      </c>
      <c r="M49" s="59">
        <f t="shared" si="20"/>
        <v>4.1449020835889128</v>
      </c>
      <c r="N49" s="280"/>
      <c r="O49" s="185"/>
      <c r="P49" s="53">
        <f t="shared" si="21"/>
        <v>9.8648669589416121E-2</v>
      </c>
      <c r="Q49" s="99">
        <f t="shared" si="4"/>
        <v>3.0765217398851123</v>
      </c>
      <c r="S49" s="46">
        <v>14</v>
      </c>
      <c r="T49" s="46">
        <v>1</v>
      </c>
      <c r="U49" s="46">
        <f t="shared" si="7"/>
        <v>15</v>
      </c>
      <c r="V49" s="185"/>
      <c r="W49" s="114">
        <f t="shared" si="0"/>
        <v>0.20510144932567415</v>
      </c>
      <c r="X49" s="113">
        <f t="shared" si="1"/>
        <v>2.7312248561946131</v>
      </c>
      <c r="Y49" s="209">
        <f t="shared" si="5"/>
        <v>3.3292567694510304</v>
      </c>
      <c r="Z49" s="209"/>
      <c r="AA49" s="97" t="s">
        <v>647</v>
      </c>
    </row>
    <row r="50" spans="4:28">
      <c r="D50" s="46">
        <v>41</v>
      </c>
      <c r="E50" s="96" t="s">
        <v>111</v>
      </c>
      <c r="F50" s="46" t="s">
        <v>645</v>
      </c>
      <c r="G50" s="46" t="s">
        <v>646</v>
      </c>
      <c r="H50" s="58" t="s">
        <v>600</v>
      </c>
      <c r="I50" s="112">
        <v>13387.4167</v>
      </c>
      <c r="J50" s="112"/>
      <c r="K50" s="46">
        <v>5896</v>
      </c>
      <c r="L50" s="96">
        <f t="shared" si="6"/>
        <v>7.4132600791921258E-2</v>
      </c>
      <c r="M50" s="59">
        <f t="shared" si="20"/>
        <v>0.63448198678090784</v>
      </c>
      <c r="N50" s="280"/>
      <c r="O50" s="185"/>
      <c r="P50" s="53">
        <f t="shared" si="21"/>
        <v>1.5100671285385605E-2</v>
      </c>
      <c r="Q50" s="99">
        <f t="shared" si="4"/>
        <v>0.47093938204851415</v>
      </c>
      <c r="S50" s="46">
        <v>14</v>
      </c>
      <c r="T50" s="46">
        <v>1</v>
      </c>
      <c r="U50" s="46">
        <f t="shared" si="7"/>
        <v>15</v>
      </c>
      <c r="V50" s="185"/>
      <c r="W50" s="114">
        <f t="shared" si="0"/>
        <v>3.1395958803234279E-2</v>
      </c>
      <c r="X50" s="113">
        <f t="shared" si="1"/>
        <v>0.42031078319493059</v>
      </c>
      <c r="Y50" s="209">
        <f t="shared" si="5"/>
        <v>0.51234248145158157</v>
      </c>
      <c r="Z50" s="209"/>
      <c r="AA50" s="97" t="s">
        <v>556</v>
      </c>
    </row>
    <row r="51" spans="4:28">
      <c r="D51" s="46">
        <v>42</v>
      </c>
      <c r="E51" s="96" t="s">
        <v>111</v>
      </c>
      <c r="F51" s="46" t="s">
        <v>648</v>
      </c>
      <c r="G51" s="46" t="s">
        <v>649</v>
      </c>
      <c r="H51" s="58" t="s">
        <v>600</v>
      </c>
      <c r="I51" s="112">
        <v>13335.5229</v>
      </c>
      <c r="J51" s="112"/>
      <c r="K51" s="46">
        <v>452732</v>
      </c>
      <c r="L51" s="96">
        <f t="shared" si="6"/>
        <v>5.6923678123690795</v>
      </c>
      <c r="M51" s="59">
        <f>(K51/SUM(K$51:K$53)*100)</f>
        <v>85.231050750966702</v>
      </c>
      <c r="N51" s="280">
        <v>3.3641421888834913</v>
      </c>
      <c r="O51" s="185"/>
      <c r="P51" s="53">
        <f>(M51*3.36)/100</f>
        <v>2.8637633052324811</v>
      </c>
      <c r="Q51" s="99">
        <f t="shared" si="4"/>
        <v>89.311189933961685</v>
      </c>
      <c r="S51" s="46">
        <v>14</v>
      </c>
      <c r="T51" s="46">
        <v>1</v>
      </c>
      <c r="U51" s="46">
        <f t="shared" si="7"/>
        <v>15</v>
      </c>
      <c r="V51" s="185"/>
      <c r="W51" s="114">
        <f t="shared" si="0"/>
        <v>5.9540793289307787</v>
      </c>
      <c r="X51" s="113">
        <f t="shared" si="1"/>
        <v>79.40076123937304</v>
      </c>
      <c r="Y51" s="209">
        <f t="shared" si="5"/>
        <v>96.786436772568592</v>
      </c>
      <c r="Z51" s="209"/>
      <c r="AA51" s="115" t="s">
        <v>136</v>
      </c>
    </row>
    <row r="52" spans="4:28">
      <c r="D52" s="46">
        <v>43</v>
      </c>
      <c r="E52" s="96" t="s">
        <v>111</v>
      </c>
      <c r="F52" s="46" t="s">
        <v>648</v>
      </c>
      <c r="G52" s="46" t="s">
        <v>649</v>
      </c>
      <c r="H52" s="58" t="s">
        <v>600</v>
      </c>
      <c r="I52" s="112">
        <v>13318.493700000001</v>
      </c>
      <c r="J52" s="112"/>
      <c r="K52" s="46">
        <v>27794</v>
      </c>
      <c r="L52" s="96">
        <f t="shared" si="6"/>
        <v>0.34946429891632624</v>
      </c>
      <c r="M52" s="59">
        <f t="shared" ref="M52:M53" si="22">(K52/SUM(K$51:K$53)*100)</f>
        <v>5.2324815223407422</v>
      </c>
      <c r="N52" s="280"/>
      <c r="O52" s="185"/>
      <c r="P52" s="53">
        <f t="shared" ref="P52:P53" si="23">(M52*3.36)/100</f>
        <v>0.17581137915064893</v>
      </c>
      <c r="Q52" s="99">
        <f t="shared" si="4"/>
        <v>5.4829683190596894</v>
      </c>
      <c r="S52" s="46">
        <v>14</v>
      </c>
      <c r="T52" s="46">
        <v>1</v>
      </c>
      <c r="U52" s="46">
        <f t="shared" si="7"/>
        <v>15</v>
      </c>
      <c r="V52" s="185"/>
      <c r="W52" s="114">
        <f t="shared" si="0"/>
        <v>0.36553122127064597</v>
      </c>
      <c r="X52" s="113">
        <f t="shared" si="1"/>
        <v>4.8683252676464042</v>
      </c>
      <c r="Y52" s="209">
        <f t="shared" si="5"/>
        <v>5.9342989708227813</v>
      </c>
      <c r="Z52" s="209"/>
      <c r="AA52" s="115" t="s">
        <v>650</v>
      </c>
    </row>
    <row r="53" spans="4:28">
      <c r="D53" s="46">
        <v>44</v>
      </c>
      <c r="E53" s="96" t="s">
        <v>111</v>
      </c>
      <c r="F53" s="46" t="s">
        <v>645</v>
      </c>
      <c r="G53" s="46" t="s">
        <v>646</v>
      </c>
      <c r="H53" s="58" t="s">
        <v>600</v>
      </c>
      <c r="I53" s="112">
        <v>13389.475200000001</v>
      </c>
      <c r="J53" s="112"/>
      <c r="K53" s="46">
        <v>50656</v>
      </c>
      <c r="L53" s="96">
        <f t="shared" si="6"/>
        <v>0.63691672756369799</v>
      </c>
      <c r="M53" s="59">
        <f t="shared" si="22"/>
        <v>9.5364677266925462</v>
      </c>
      <c r="N53" s="280"/>
      <c r="O53" s="185"/>
      <c r="P53" s="53">
        <f t="shared" si="23"/>
        <v>0.32042531561686954</v>
      </c>
      <c r="Q53" s="99">
        <f t="shared" si="4"/>
        <v>9.9929928463081108</v>
      </c>
      <c r="S53" s="46">
        <v>14</v>
      </c>
      <c r="T53" s="46">
        <v>1</v>
      </c>
      <c r="U53" s="46">
        <f t="shared" si="7"/>
        <v>15</v>
      </c>
      <c r="V53" s="185"/>
      <c r="W53" s="114">
        <f t="shared" si="0"/>
        <v>0.66619952308720742</v>
      </c>
      <c r="X53" s="113">
        <f t="shared" si="1"/>
        <v>8.9200619926279927</v>
      </c>
      <c r="Y53" s="209">
        <f t="shared" si="5"/>
        <v>10.873208299025352</v>
      </c>
      <c r="Z53" s="209"/>
      <c r="AA53" s="123" t="s">
        <v>651</v>
      </c>
    </row>
    <row r="54" spans="4:28">
      <c r="D54" s="46">
        <v>45</v>
      </c>
      <c r="E54" s="96" t="s">
        <v>652</v>
      </c>
      <c r="F54" s="46" t="s">
        <v>146</v>
      </c>
      <c r="G54" s="46" t="s">
        <v>653</v>
      </c>
      <c r="H54" s="58" t="s">
        <v>600</v>
      </c>
      <c r="I54" s="112">
        <v>13329.2217</v>
      </c>
      <c r="J54" s="112"/>
      <c r="K54" s="46">
        <v>51776</v>
      </c>
      <c r="L54" s="96">
        <f t="shared" si="6"/>
        <v>0.65099890410490413</v>
      </c>
      <c r="M54" s="59">
        <v>0.02</v>
      </c>
      <c r="N54" s="280">
        <v>0.61581101391257564</v>
      </c>
      <c r="O54" s="185"/>
      <c r="P54" s="53">
        <f>(M54*0.62)/100</f>
        <v>1.2400000000000001E-4</v>
      </c>
      <c r="Q54" s="99">
        <f t="shared" si="4"/>
        <v>3.8671448619990649E-3</v>
      </c>
      <c r="S54" s="46">
        <v>6</v>
      </c>
      <c r="T54" s="46">
        <v>2</v>
      </c>
      <c r="U54" s="46">
        <f t="shared" si="7"/>
        <v>8</v>
      </c>
      <c r="V54" s="185"/>
      <c r="W54" s="114">
        <f t="shared" si="0"/>
        <v>4.8339310774988311E-4</v>
      </c>
      <c r="X54" s="113">
        <f t="shared" si="1"/>
        <v>6.4432539014501796E-3</v>
      </c>
      <c r="Y54" s="209">
        <f t="shared" si="5"/>
        <v>7.8540756613435948E-3</v>
      </c>
      <c r="Z54" s="209"/>
      <c r="AA54" s="124" t="s">
        <v>147</v>
      </c>
    </row>
    <row r="55" spans="4:28">
      <c r="D55" s="46">
        <v>46</v>
      </c>
      <c r="E55" s="96" t="s">
        <v>111</v>
      </c>
      <c r="F55" s="46" t="s">
        <v>648</v>
      </c>
      <c r="G55" s="46" t="s">
        <v>649</v>
      </c>
      <c r="H55" s="58" t="s">
        <v>600</v>
      </c>
      <c r="I55" s="112">
        <v>13313.1859</v>
      </c>
      <c r="J55" s="112"/>
      <c r="K55" s="46">
        <v>7539</v>
      </c>
      <c r="L55" s="96">
        <f t="shared" si="6"/>
        <v>9.479065084299429E-2</v>
      </c>
      <c r="M55" s="281">
        <v>99.08</v>
      </c>
      <c r="N55" s="280"/>
      <c r="O55" s="185"/>
      <c r="P55" s="53">
        <f t="shared" ref="P55:P56" si="24">(M55*0.62)/100</f>
        <v>0.61429599999999995</v>
      </c>
      <c r="Q55" s="99">
        <f t="shared" si="4"/>
        <v>19.157835646343365</v>
      </c>
      <c r="S55" s="46">
        <v>14</v>
      </c>
      <c r="T55" s="46">
        <v>1</v>
      </c>
      <c r="U55" s="46">
        <f t="shared" si="7"/>
        <v>15</v>
      </c>
      <c r="V55" s="185"/>
      <c r="W55" s="282">
        <f t="shared" si="0"/>
        <v>1.2771890430895576</v>
      </c>
      <c r="X55" s="280">
        <f t="shared" si="1"/>
        <v>17.003455160094394</v>
      </c>
      <c r="Y55" s="280">
        <f t="shared" si="5"/>
        <v>20.726549872819277</v>
      </c>
      <c r="Z55" s="209"/>
      <c r="AA55" s="115" t="s">
        <v>654</v>
      </c>
    </row>
    <row r="56" spans="4:28">
      <c r="D56" s="46">
        <v>47</v>
      </c>
      <c r="E56" s="96" t="s">
        <v>111</v>
      </c>
      <c r="F56" s="46" t="s">
        <v>648</v>
      </c>
      <c r="G56" s="46" t="s">
        <v>649</v>
      </c>
      <c r="H56" s="58" t="s">
        <v>600</v>
      </c>
      <c r="I56" s="112">
        <v>13347.2521</v>
      </c>
      <c r="J56" s="112"/>
      <c r="K56" s="46">
        <v>34076</v>
      </c>
      <c r="L56" s="96">
        <f t="shared" si="6"/>
        <v>0.42845022126619886</v>
      </c>
      <c r="M56" s="281"/>
      <c r="N56" s="280"/>
      <c r="O56" s="185"/>
      <c r="P56" s="53">
        <f t="shared" si="24"/>
        <v>0</v>
      </c>
      <c r="Q56" s="99">
        <f t="shared" si="4"/>
        <v>0</v>
      </c>
      <c r="S56" s="46">
        <v>14</v>
      </c>
      <c r="T56" s="46">
        <v>1</v>
      </c>
      <c r="U56" s="46">
        <f t="shared" si="7"/>
        <v>15</v>
      </c>
      <c r="V56" s="185"/>
      <c r="W56" s="282"/>
      <c r="X56" s="280"/>
      <c r="Y56" s="280"/>
      <c r="Z56" s="209"/>
      <c r="AA56" s="97" t="s">
        <v>655</v>
      </c>
    </row>
    <row r="57" spans="4:28">
      <c r="D57" s="46">
        <v>48</v>
      </c>
      <c r="E57" s="96" t="s">
        <v>183</v>
      </c>
      <c r="F57" s="46" t="s">
        <v>656</v>
      </c>
      <c r="G57" s="46" t="s">
        <v>657</v>
      </c>
      <c r="H57" s="58" t="s">
        <v>658</v>
      </c>
      <c r="I57" s="112">
        <v>24924.2343</v>
      </c>
      <c r="J57" s="112"/>
      <c r="K57" s="46">
        <v>5487</v>
      </c>
      <c r="L57" s="96">
        <f t="shared" si="6"/>
        <v>6.899009167999863E-2</v>
      </c>
      <c r="M57" s="59">
        <f>(K57/SUM(K$57:K$58)*100)</f>
        <v>65.539894887720976</v>
      </c>
      <c r="N57" s="280">
        <v>0.40701932460030626</v>
      </c>
      <c r="O57" s="185"/>
      <c r="P57" s="53">
        <f>(M57*0.41)/100</f>
        <v>0.26871356903965599</v>
      </c>
      <c r="Q57" s="99">
        <f t="shared" si="4"/>
        <v>8.3802765956543261</v>
      </c>
      <c r="S57" s="46">
        <v>16</v>
      </c>
      <c r="T57" s="46">
        <v>4</v>
      </c>
      <c r="U57" s="46">
        <f t="shared" si="7"/>
        <v>20</v>
      </c>
      <c r="V57" s="185"/>
      <c r="W57" s="114">
        <f t="shared" si="0"/>
        <v>0.41901382978271628</v>
      </c>
      <c r="X57" s="113">
        <f t="shared" si="1"/>
        <v>10.443598868444738</v>
      </c>
      <c r="Y57" s="209">
        <f t="shared" si="5"/>
        <v>12.730340437310106</v>
      </c>
      <c r="Z57" s="209"/>
      <c r="AA57" s="97" t="s">
        <v>659</v>
      </c>
    </row>
    <row r="58" spans="4:28">
      <c r="D58" s="46">
        <v>49</v>
      </c>
      <c r="E58" s="96" t="s">
        <v>183</v>
      </c>
      <c r="F58" s="46" t="s">
        <v>656</v>
      </c>
      <c r="G58" s="46" t="s">
        <v>657</v>
      </c>
      <c r="H58" s="58" t="s">
        <v>658</v>
      </c>
      <c r="I58" s="112">
        <v>24800.3295</v>
      </c>
      <c r="J58" s="112"/>
      <c r="K58" s="46">
        <v>2885</v>
      </c>
      <c r="L58" s="96">
        <f t="shared" si="6"/>
        <v>3.6274177965517782E-2</v>
      </c>
      <c r="M58" s="59">
        <f>(K58/SUM(K$57:K$58)*100)</f>
        <v>34.460105112279024</v>
      </c>
      <c r="N58" s="280"/>
      <c r="O58" s="185"/>
      <c r="P58" s="53">
        <f>(M58*0.41)/100</f>
        <v>0.14128643096034399</v>
      </c>
      <c r="Q58" s="99">
        <f t="shared" si="4"/>
        <v>4.4062507706329015</v>
      </c>
      <c r="S58" s="46">
        <v>16</v>
      </c>
      <c r="T58" s="46">
        <v>4</v>
      </c>
      <c r="U58" s="46">
        <f t="shared" si="7"/>
        <v>20</v>
      </c>
      <c r="V58" s="185"/>
      <c r="W58" s="114">
        <f t="shared" si="0"/>
        <v>0.22031253853164506</v>
      </c>
      <c r="X58" s="113">
        <f t="shared" si="1"/>
        <v>5.4638235485662436</v>
      </c>
      <c r="Y58" s="209">
        <f t="shared" si="5"/>
        <v>6.660188191716558</v>
      </c>
      <c r="Z58" s="209"/>
      <c r="AA58" s="97" t="s">
        <v>659</v>
      </c>
    </row>
    <row r="59" spans="4:28">
      <c r="D59" s="46">
        <v>50</v>
      </c>
      <c r="E59" s="96" t="s">
        <v>183</v>
      </c>
      <c r="F59" s="46" t="s">
        <v>656</v>
      </c>
      <c r="G59" s="46" t="s">
        <v>657</v>
      </c>
      <c r="H59" s="58" t="s">
        <v>658</v>
      </c>
      <c r="I59" s="112">
        <v>24905.199000000001</v>
      </c>
      <c r="J59" s="112"/>
      <c r="K59" s="46">
        <v>31499</v>
      </c>
      <c r="L59" s="96">
        <f t="shared" si="6"/>
        <v>0.39604864184951283</v>
      </c>
      <c r="M59" s="59">
        <v>100</v>
      </c>
      <c r="N59" s="113">
        <v>1.4525079189984957</v>
      </c>
      <c r="O59" s="185"/>
      <c r="P59" s="53">
        <f>(M59*N59)/100</f>
        <v>1.4525079189984955</v>
      </c>
      <c r="Q59" s="99">
        <f t="shared" si="4"/>
        <v>45.298859161032141</v>
      </c>
      <c r="S59" s="46">
        <v>16</v>
      </c>
      <c r="T59" s="46">
        <v>4</v>
      </c>
      <c r="U59" s="46">
        <f t="shared" si="7"/>
        <v>20</v>
      </c>
      <c r="V59" s="185"/>
      <c r="W59" s="114">
        <f t="shared" si="0"/>
        <v>2.2649429580516069</v>
      </c>
      <c r="X59" s="113">
        <f t="shared" si="1"/>
        <v>56.408855093923918</v>
      </c>
      <c r="Y59" s="209">
        <f t="shared" si="5"/>
        <v>68.760198287038008</v>
      </c>
      <c r="Z59" s="209"/>
      <c r="AA59" s="97" t="s">
        <v>659</v>
      </c>
    </row>
    <row r="60" spans="4:28">
      <c r="D60" s="46">
        <v>51</v>
      </c>
      <c r="E60" s="96" t="s">
        <v>183</v>
      </c>
      <c r="F60" s="46" t="s">
        <v>656</v>
      </c>
      <c r="G60" s="46" t="s">
        <v>657</v>
      </c>
      <c r="H60" s="58" t="s">
        <v>658</v>
      </c>
      <c r="I60" s="112">
        <v>25039.544999999998</v>
      </c>
      <c r="J60" s="112"/>
      <c r="K60" s="46">
        <v>7440</v>
      </c>
      <c r="L60" s="96">
        <f t="shared" si="6"/>
        <v>9.3545887023726959E-2</v>
      </c>
      <c r="M60" s="59">
        <f>(K60/SUM(K$60:K$61)*100)</f>
        <v>10.379174688206245</v>
      </c>
      <c r="N60" s="280">
        <v>0.42936041131821995</v>
      </c>
      <c r="O60" s="185"/>
      <c r="P60" s="53">
        <f>(M60*0.43)/100</f>
        <v>4.4630451159286856E-2</v>
      </c>
      <c r="Q60" s="99">
        <f t="shared" si="4"/>
        <v>1.391874353946261</v>
      </c>
      <c r="S60" s="46">
        <v>16</v>
      </c>
      <c r="T60" s="46">
        <v>4</v>
      </c>
      <c r="U60" s="46">
        <f t="shared" si="7"/>
        <v>20</v>
      </c>
      <c r="V60" s="185"/>
      <c r="W60" s="114">
        <f t="shared" si="0"/>
        <v>6.9593717697313054E-2</v>
      </c>
      <c r="X60" s="113">
        <f t="shared" si="1"/>
        <v>1.7425950259991665</v>
      </c>
      <c r="Y60" s="209">
        <f t="shared" si="5"/>
        <v>2.1241554951292629</v>
      </c>
      <c r="Z60" s="209"/>
      <c r="AA60" s="97" t="s">
        <v>659</v>
      </c>
    </row>
    <row r="61" spans="4:28">
      <c r="D61" s="46">
        <v>52</v>
      </c>
      <c r="E61" s="96" t="s">
        <v>183</v>
      </c>
      <c r="F61" s="46" t="s">
        <v>656</v>
      </c>
      <c r="G61" s="46" t="s">
        <v>657</v>
      </c>
      <c r="H61" s="58" t="s">
        <v>658</v>
      </c>
      <c r="I61" s="112">
        <v>24897.370299999999</v>
      </c>
      <c r="J61" s="112"/>
      <c r="K61" s="46">
        <v>64242</v>
      </c>
      <c r="L61" s="96">
        <f t="shared" si="6"/>
        <v>0.80773855835729391</v>
      </c>
      <c r="M61" s="59">
        <f>(K61/SUM(K$60:K$61)*100)</f>
        <v>89.620825311793752</v>
      </c>
      <c r="N61" s="280"/>
      <c r="O61" s="185"/>
      <c r="P61" s="53">
        <f>(M61*0.43)/100</f>
        <v>0.38536954884071312</v>
      </c>
      <c r="Q61" s="99">
        <f t="shared" si="4"/>
        <v>12.018386054598881</v>
      </c>
      <c r="S61" s="46">
        <v>16</v>
      </c>
      <c r="T61" s="46">
        <v>4</v>
      </c>
      <c r="U61" s="46">
        <f t="shared" si="7"/>
        <v>20</v>
      </c>
      <c r="V61" s="185"/>
      <c r="W61" s="114">
        <f t="shared" si="0"/>
        <v>0.60091930272994409</v>
      </c>
      <c r="X61" s="113">
        <f t="shared" si="1"/>
        <v>14.961310400485218</v>
      </c>
      <c r="Y61" s="209">
        <f t="shared" si="5"/>
        <v>18.237254914292677</v>
      </c>
      <c r="Z61" s="209"/>
      <c r="AA61" s="97" t="s">
        <v>659</v>
      </c>
    </row>
    <row r="62" spans="4:28">
      <c r="D62" s="46">
        <v>53</v>
      </c>
      <c r="E62" s="96" t="s">
        <v>183</v>
      </c>
      <c r="F62" s="46" t="s">
        <v>656</v>
      </c>
      <c r="G62" s="46" t="s">
        <v>657</v>
      </c>
      <c r="H62" s="58" t="s">
        <v>658</v>
      </c>
      <c r="I62" s="112">
        <v>25020.529600000002</v>
      </c>
      <c r="J62" s="112"/>
      <c r="K62" s="46">
        <v>36410</v>
      </c>
      <c r="L62" s="96">
        <f t="shared" si="6"/>
        <v>0.45779647130831969</v>
      </c>
      <c r="M62" s="117">
        <v>100</v>
      </c>
      <c r="N62" s="113">
        <v>0.62776597077333163</v>
      </c>
      <c r="O62" s="185"/>
      <c r="P62" s="53">
        <f>(M62*N62)/100</f>
        <v>0.62776597077333163</v>
      </c>
      <c r="Q62" s="99">
        <f t="shared" si="4"/>
        <v>19.57791893882213</v>
      </c>
      <c r="S62" s="46">
        <v>16</v>
      </c>
      <c r="T62" s="46">
        <v>4</v>
      </c>
      <c r="U62" s="46">
        <f t="shared" si="7"/>
        <v>20</v>
      </c>
      <c r="V62" s="185"/>
      <c r="W62" s="114">
        <f t="shared" si="0"/>
        <v>0.97889594694110649</v>
      </c>
      <c r="X62" s="113">
        <f t="shared" si="1"/>
        <v>24.492495015759985</v>
      </c>
      <c r="Y62" s="209">
        <f t="shared" si="5"/>
        <v>29.855397898500343</v>
      </c>
      <c r="Z62" s="209"/>
      <c r="AA62" s="97" t="s">
        <v>659</v>
      </c>
    </row>
    <row r="63" spans="4:28">
      <c r="K63" s="97">
        <f>SUM(K10:K62)</f>
        <v>7953316</v>
      </c>
      <c r="L63" s="125">
        <f>SUM(L10:L62)</f>
        <v>100.00000000000004</v>
      </c>
      <c r="N63" s="98">
        <f>SUM(N10:N62)</f>
        <v>28.981223224767366</v>
      </c>
      <c r="O63" s="188"/>
      <c r="Q63" s="127">
        <f>SUM(Q10:Q62)</f>
        <v>904.07182800650764</v>
      </c>
      <c r="X63" s="98">
        <f>SUM(X10:X62)</f>
        <v>820.37074498311279</v>
      </c>
      <c r="Y63" s="98"/>
      <c r="Z63" s="98"/>
      <c r="AB63" s="128"/>
    </row>
    <row r="64" spans="4:28">
      <c r="N64" s="183">
        <v>0.91400000000000003</v>
      </c>
      <c r="O64" s="189"/>
      <c r="AB64" s="128"/>
    </row>
    <row r="65" spans="27:34">
      <c r="AB65" s="129"/>
    </row>
    <row r="66" spans="27:34">
      <c r="AB66" s="128"/>
    </row>
    <row r="67" spans="27:34">
      <c r="AB67" s="64" t="s">
        <v>749</v>
      </c>
      <c r="AC67" s="170" t="s">
        <v>720</v>
      </c>
      <c r="AD67" s="171" t="s">
        <v>721</v>
      </c>
      <c r="AE67" s="130"/>
      <c r="AF67" s="105" t="s">
        <v>722</v>
      </c>
      <c r="AH67" s="170" t="s">
        <v>944</v>
      </c>
    </row>
    <row r="68" spans="27:34" ht="8" customHeight="1">
      <c r="AB68" s="2"/>
      <c r="AC68" s="130"/>
      <c r="AE68" s="130"/>
      <c r="AF68" s="133"/>
      <c r="AH68" s="130"/>
    </row>
    <row r="69" spans="27:34">
      <c r="AA69" s="96" t="s">
        <v>492</v>
      </c>
      <c r="AB69" s="172">
        <v>372.88</v>
      </c>
      <c r="AC69" s="155">
        <f>(AB69*100)/$X$63</f>
        <v>45.452620328102469</v>
      </c>
      <c r="AD69" s="173">
        <v>39.4</v>
      </c>
      <c r="AE69" s="130"/>
      <c r="AF69" s="174" t="s">
        <v>1004</v>
      </c>
      <c r="AH69" s="241">
        <v>65.400000000000006</v>
      </c>
    </row>
    <row r="70" spans="27:34">
      <c r="AA70" s="96" t="s">
        <v>41</v>
      </c>
      <c r="AB70" s="257">
        <v>112.158</v>
      </c>
      <c r="AC70" s="155">
        <f t="shared" ref="AC70:AC72" si="25">(AB70*100)/$X$63</f>
        <v>13.671623553849273</v>
      </c>
      <c r="AD70" s="173">
        <v>7.23</v>
      </c>
      <c r="AE70" s="130"/>
      <c r="AF70" s="174" t="s">
        <v>1005</v>
      </c>
      <c r="AH70" s="130">
        <v>10.7</v>
      </c>
    </row>
    <row r="71" spans="27:34">
      <c r="AA71" s="96" t="s">
        <v>111</v>
      </c>
      <c r="AB71" s="125">
        <v>221.81</v>
      </c>
      <c r="AC71" s="155">
        <f t="shared" si="25"/>
        <v>27.037775463892967</v>
      </c>
      <c r="AD71" s="173">
        <v>26.1</v>
      </c>
      <c r="AE71" s="130"/>
      <c r="AF71" s="162" t="s">
        <v>1006</v>
      </c>
      <c r="AH71" s="130">
        <v>21.4</v>
      </c>
    </row>
    <row r="72" spans="27:34">
      <c r="AA72" s="96" t="s">
        <v>183</v>
      </c>
      <c r="AB72" s="172">
        <v>113.5</v>
      </c>
      <c r="AC72" s="155">
        <f t="shared" si="25"/>
        <v>13.835208129263115</v>
      </c>
      <c r="AD72" s="173">
        <v>13.5</v>
      </c>
      <c r="AE72" s="130"/>
      <c r="AF72" s="174" t="s">
        <v>958</v>
      </c>
      <c r="AH72" s="241">
        <v>1.9</v>
      </c>
    </row>
    <row r="73" spans="27:34">
      <c r="AA73" s="96" t="s">
        <v>652</v>
      </c>
      <c r="AB73" s="172">
        <v>0.01</v>
      </c>
      <c r="AC73" s="220">
        <f>(AB73*100)/$X$63</f>
        <v>1.2189610686575432E-3</v>
      </c>
      <c r="AD73" s="221">
        <v>0.01</v>
      </c>
      <c r="AF73" s="174" t="s">
        <v>750</v>
      </c>
      <c r="AH73" s="97">
        <v>0.7</v>
      </c>
    </row>
    <row r="74" spans="27:34">
      <c r="AC74" s="222">
        <f>SUM(AC69:AC73)</f>
        <v>99.998446436176479</v>
      </c>
      <c r="AD74" s="222">
        <f>SUM(AD69:AD73)</f>
        <v>86.24</v>
      </c>
    </row>
    <row r="76" spans="27:34">
      <c r="AA76" s="96" t="s">
        <v>166</v>
      </c>
      <c r="AD76" s="97">
        <v>7.1</v>
      </c>
    </row>
    <row r="77" spans="27:34">
      <c r="AA77" s="96" t="s">
        <v>228</v>
      </c>
      <c r="AD77" s="97">
        <v>6.4</v>
      </c>
    </row>
    <row r="78" spans="27:34">
      <c r="AA78" s="96" t="s">
        <v>753</v>
      </c>
      <c r="AD78" s="97">
        <v>0.01</v>
      </c>
    </row>
    <row r="79" spans="27:34">
      <c r="AA79" s="96" t="s">
        <v>160</v>
      </c>
      <c r="AD79" s="97">
        <v>0.16</v>
      </c>
    </row>
    <row r="80" spans="27:34">
      <c r="AA80" s="96" t="s">
        <v>751</v>
      </c>
      <c r="AD80" s="97">
        <v>0.01</v>
      </c>
    </row>
    <row r="81" spans="27:30">
      <c r="AA81" s="96" t="s">
        <v>233</v>
      </c>
      <c r="AD81" s="97">
        <v>0.06</v>
      </c>
    </row>
    <row r="82" spans="27:30">
      <c r="AD82" s="97">
        <f>SUM(AD76:AD81)</f>
        <v>13.74</v>
      </c>
    </row>
    <row r="84" spans="27:30">
      <c r="AC84" s="125" t="s">
        <v>754</v>
      </c>
      <c r="AD84" s="222">
        <f>AD74+AD82</f>
        <v>99.97999999999999</v>
      </c>
    </row>
  </sheetData>
  <mergeCells count="25">
    <mergeCell ref="M55:M56"/>
    <mergeCell ref="W55:W56"/>
    <mergeCell ref="X55:X56"/>
    <mergeCell ref="Y55:Y56"/>
    <mergeCell ref="N60:N61"/>
    <mergeCell ref="N54:N56"/>
    <mergeCell ref="AA8:AN8"/>
    <mergeCell ref="N10:N15"/>
    <mergeCell ref="N20:N22"/>
    <mergeCell ref="N23:N26"/>
    <mergeCell ref="N57:N58"/>
    <mergeCell ref="N28:N31"/>
    <mergeCell ref="N32:N34"/>
    <mergeCell ref="N35:N38"/>
    <mergeCell ref="N39:N40"/>
    <mergeCell ref="N47:N50"/>
    <mergeCell ref="N51:N53"/>
    <mergeCell ref="F8:H8"/>
    <mergeCell ref="D6:I6"/>
    <mergeCell ref="S7:U7"/>
    <mergeCell ref="P7:Q7"/>
    <mergeCell ref="K7:N7"/>
    <mergeCell ref="K6:N6"/>
    <mergeCell ref="S6:Y6"/>
    <mergeCell ref="W7:Y7"/>
  </mergeCells>
  <hyperlinks>
    <hyperlink ref="B14" location="'W. aegyptia (Sinai)'!A1" display="Table S1" xr:uid="{6D94A180-1FC1-134A-AAB3-05DD8B355163}"/>
    <hyperlink ref="B15" location="'W. aegyptia (Riyadh)'!A1" display="Table S2" xr:uid="{F86666AE-10BB-614F-9BFD-7AB73CBF0336}"/>
    <hyperlink ref="B16" location="'W. morgani'!A1" display="Table S3" xr:uid="{F2E69A6C-5868-F94F-A012-176A76D07824}"/>
    <hyperlink ref="B17" location="'Top-Down MS IDs'!A1" display="Table S4" xr:uid="{BD6D63A3-7811-7846-9A16-9B068B4B41F8}"/>
    <hyperlink ref="B13" location="'Transcriptomic database'!A1" display="Table S5" xr:uid="{5EC34F65-961E-5645-95D7-C079DB38A83E}"/>
    <hyperlink ref="B18" location="'W. aegyptia (Sinai) ICP-MS'!A1" display="Table S6" xr:uid="{D168BBF0-86DB-C747-A7A8-1B4DA804C431}"/>
    <hyperlink ref="B19" location="'W. aegyptia (Riyadh) ICP-MS'!A1" display="Table S7" xr:uid="{C1D63D92-CC03-C34E-8610-13F7B4943130}"/>
    <hyperlink ref="B20" location="'W. morgani ICP-MS'!A1" display="Table S8" xr:uid="{CC4DB799-AD6B-7445-B89F-8749A87C5E33}"/>
    <hyperlink ref="B12" location="INDEX!A1" display="INDEX" xr:uid="{8E85B9C9-C935-A64E-94B5-57D7A39E01F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INDEX</vt:lpstr>
      <vt:lpstr>Transcriptomic database</vt:lpstr>
      <vt:lpstr>W. aegyptia (Sinai)</vt:lpstr>
      <vt:lpstr>W. aegyptia (Riyadh)</vt:lpstr>
      <vt:lpstr>W. morgani</vt:lpstr>
      <vt:lpstr>Top-Down MS IDs</vt:lpstr>
      <vt:lpstr>W. aegyptia (Sinai) ICP-MS</vt:lpstr>
      <vt:lpstr>W. aegyptia (Riyadh) ICP-MS</vt:lpstr>
      <vt:lpstr>W. morgani ICP-MS</vt:lpstr>
      <vt:lpstr>'W. aegyptia (Riyadh)'!Área_de_impresión</vt:lpstr>
      <vt:lpstr>'W. aegyptia (Sinai)'!Área_de_impresión</vt:lpstr>
      <vt:lpstr>'W. morgani'!Área_de_impresión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cp:lastPrinted>2021-05-17T15:52:23Z</cp:lastPrinted>
  <dcterms:created xsi:type="dcterms:W3CDTF">2021-01-01T19:03:48Z</dcterms:created>
  <dcterms:modified xsi:type="dcterms:W3CDTF">2021-07-14T07:19:22Z</dcterms:modified>
</cp:coreProperties>
</file>