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FRET\Science_2020\"/>
    </mc:Choice>
  </mc:AlternateContent>
  <xr:revisionPtr revIDLastSave="0" documentId="13_ncr:1_{7AA08E3F-7D94-4AA2-89C7-A46927AC0B5A}" xr6:coauthVersionLast="45" xr6:coauthVersionMax="45" xr10:uidLastSave="{00000000-0000-0000-0000-000000000000}"/>
  <bookViews>
    <workbookView xWindow="-108" yWindow="-108" windowWidth="19416" windowHeight="10416" xr2:uid="{890DEA06-7981-4DC5-8692-59F34DA26023}"/>
  </bookViews>
  <sheets>
    <sheet name="Fig4_34N" sheetId="2" r:id="rId1"/>
    <sheet name="Lifetime_dilution_34N" sheetId="3" r:id="rId2"/>
    <sheet name="Error calc formula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0" i="2" l="1"/>
  <c r="E60" i="2"/>
  <c r="D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60" i="2" l="1"/>
  <c r="V46" i="2"/>
  <c r="V42" i="2"/>
  <c r="B27" i="3"/>
  <c r="J6" i="3" l="1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J7" i="3"/>
  <c r="K7" i="3"/>
  <c r="L19" i="3" s="1"/>
  <c r="L7" i="3"/>
  <c r="M7" i="3"/>
  <c r="N7" i="3"/>
  <c r="O7" i="3"/>
  <c r="L21" i="3" s="1"/>
  <c r="P7" i="3"/>
  <c r="Q7" i="3"/>
  <c r="R7" i="3"/>
  <c r="S7" i="3"/>
  <c r="L23" i="3" s="1"/>
  <c r="T7" i="3"/>
  <c r="U7" i="3"/>
  <c r="L24" i="3" s="1"/>
  <c r="V7" i="3"/>
  <c r="W7" i="3"/>
  <c r="L25" i="3" s="1"/>
  <c r="X7" i="3"/>
  <c r="Y7" i="3"/>
  <c r="L26" i="3" s="1"/>
  <c r="Z7" i="3"/>
  <c r="AA7" i="3"/>
  <c r="J14" i="3"/>
  <c r="K14" i="3"/>
  <c r="L14" i="3"/>
  <c r="M14" i="3"/>
  <c r="K29" i="3" s="1"/>
  <c r="N14" i="3"/>
  <c r="O14" i="3"/>
  <c r="P14" i="3"/>
  <c r="Q14" i="3"/>
  <c r="K31" i="3" s="1"/>
  <c r="R14" i="3"/>
  <c r="S14" i="3"/>
  <c r="T14" i="3"/>
  <c r="U14" i="3"/>
  <c r="K33" i="3" s="1"/>
  <c r="V14" i="3"/>
  <c r="W14" i="3"/>
  <c r="X14" i="3"/>
  <c r="Y14" i="3"/>
  <c r="K35" i="3" s="1"/>
  <c r="Z14" i="3"/>
  <c r="AA14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K18" i="3"/>
  <c r="K19" i="3"/>
  <c r="K20" i="3"/>
  <c r="L20" i="3"/>
  <c r="K21" i="3"/>
  <c r="K22" i="3"/>
  <c r="L22" i="3"/>
  <c r="K23" i="3"/>
  <c r="K24" i="3"/>
  <c r="K25" i="3"/>
  <c r="K26" i="3"/>
  <c r="E27" i="3"/>
  <c r="K27" i="3"/>
  <c r="L27" i="3"/>
  <c r="B28" i="3"/>
  <c r="L18" i="3" s="1"/>
  <c r="E28" i="3"/>
  <c r="K28" i="3"/>
  <c r="L28" i="3"/>
  <c r="L29" i="3"/>
  <c r="K30" i="3"/>
  <c r="L30" i="3"/>
  <c r="L31" i="3"/>
  <c r="K32" i="3"/>
  <c r="L32" i="3"/>
  <c r="L33" i="3"/>
  <c r="K34" i="3"/>
  <c r="L34" i="3"/>
  <c r="L35" i="3"/>
  <c r="K36" i="3"/>
  <c r="L36" i="3"/>
  <c r="B56" i="3"/>
  <c r="K37" i="3" s="1"/>
  <c r="D56" i="3"/>
  <c r="B57" i="3"/>
  <c r="L37" i="3" s="1"/>
  <c r="D57" i="3"/>
  <c r="B2" i="2" l="1"/>
  <c r="C2" i="2" s="1"/>
  <c r="C5" i="2" s="1"/>
  <c r="B9" i="2"/>
  <c r="C9" i="2"/>
  <c r="B11" i="2"/>
  <c r="C11" i="2" s="1"/>
  <c r="C16" i="2"/>
  <c r="D18" i="2"/>
  <c r="F18" i="2"/>
  <c r="G18" i="2"/>
  <c r="H18" i="2"/>
  <c r="I18" i="2"/>
  <c r="D19" i="2"/>
  <c r="F19" i="2"/>
  <c r="G19" i="2"/>
  <c r="H19" i="2"/>
  <c r="I19" i="2"/>
  <c r="D20" i="2"/>
  <c r="E20" i="2" s="1"/>
  <c r="F20" i="2"/>
  <c r="G20" i="2"/>
  <c r="H20" i="2"/>
  <c r="I20" i="2"/>
  <c r="D21" i="2"/>
  <c r="F21" i="2"/>
  <c r="G21" i="2"/>
  <c r="H21" i="2"/>
  <c r="I21" i="2"/>
  <c r="D22" i="2"/>
  <c r="F22" i="2"/>
  <c r="G22" i="2"/>
  <c r="H22" i="2"/>
  <c r="I22" i="2"/>
  <c r="D23" i="2"/>
  <c r="F23" i="2"/>
  <c r="G23" i="2"/>
  <c r="H23" i="2"/>
  <c r="I23" i="2"/>
  <c r="D24" i="2"/>
  <c r="F24" i="2"/>
  <c r="G24" i="2"/>
  <c r="H24" i="2"/>
  <c r="I24" i="2"/>
  <c r="D25" i="2"/>
  <c r="F25" i="2"/>
  <c r="G25" i="2"/>
  <c r="H25" i="2"/>
  <c r="W25" i="2" s="1"/>
  <c r="I25" i="2"/>
  <c r="D26" i="2"/>
  <c r="F26" i="2"/>
  <c r="G26" i="2"/>
  <c r="H26" i="2"/>
  <c r="I26" i="2"/>
  <c r="D27" i="2"/>
  <c r="F27" i="2"/>
  <c r="G27" i="2"/>
  <c r="H27" i="2"/>
  <c r="I27" i="2"/>
  <c r="D28" i="2"/>
  <c r="F28" i="2"/>
  <c r="G28" i="2"/>
  <c r="H28" i="2"/>
  <c r="I28" i="2"/>
  <c r="D29" i="2"/>
  <c r="F29" i="2"/>
  <c r="G29" i="2"/>
  <c r="H29" i="2"/>
  <c r="I29" i="2"/>
  <c r="D30" i="2"/>
  <c r="F30" i="2"/>
  <c r="G30" i="2"/>
  <c r="H30" i="2"/>
  <c r="I30" i="2"/>
  <c r="W30" i="2" s="1"/>
  <c r="D31" i="2"/>
  <c r="F31" i="2"/>
  <c r="G31" i="2"/>
  <c r="H31" i="2"/>
  <c r="I31" i="2"/>
  <c r="D32" i="2"/>
  <c r="E32" i="2" s="1"/>
  <c r="F32" i="2"/>
  <c r="G32" i="2"/>
  <c r="H32" i="2"/>
  <c r="I32" i="2"/>
  <c r="D33" i="2"/>
  <c r="F33" i="2"/>
  <c r="G33" i="2"/>
  <c r="H33" i="2"/>
  <c r="W33" i="2" s="1"/>
  <c r="I33" i="2"/>
  <c r="D34" i="2"/>
  <c r="F34" i="2"/>
  <c r="G34" i="2"/>
  <c r="H34" i="2"/>
  <c r="I34" i="2"/>
  <c r="D35" i="2"/>
  <c r="F35" i="2"/>
  <c r="G35" i="2"/>
  <c r="H35" i="2"/>
  <c r="I35" i="2"/>
  <c r="D36" i="2"/>
  <c r="F36" i="2"/>
  <c r="G36" i="2"/>
  <c r="H36" i="2"/>
  <c r="I36" i="2"/>
  <c r="D37" i="2"/>
  <c r="F37" i="2"/>
  <c r="G37" i="2"/>
  <c r="H37" i="2"/>
  <c r="W37" i="2" s="1"/>
  <c r="I37" i="2"/>
  <c r="B38" i="2"/>
  <c r="B40" i="2"/>
  <c r="B41" i="2"/>
  <c r="F41" i="2" s="1"/>
  <c r="B42" i="2"/>
  <c r="F42" i="2" s="1"/>
  <c r="B43" i="2"/>
  <c r="F43" i="2" s="1"/>
  <c r="B44" i="2"/>
  <c r="F44" i="2" s="1"/>
  <c r="B45" i="2"/>
  <c r="F45" i="2" s="1"/>
  <c r="C45" i="2"/>
  <c r="B46" i="2"/>
  <c r="F46" i="2" s="1"/>
  <c r="B47" i="2"/>
  <c r="F47" i="2" s="1"/>
  <c r="B48" i="2"/>
  <c r="F48" i="2" s="1"/>
  <c r="Q48" i="2" s="1"/>
  <c r="G48" i="2"/>
  <c r="B49" i="2"/>
  <c r="F49" i="2" s="1"/>
  <c r="Q49" i="2" s="1"/>
  <c r="B50" i="2"/>
  <c r="C50" i="2" s="1"/>
  <c r="B51" i="2"/>
  <c r="C51" i="2" s="1"/>
  <c r="B52" i="2"/>
  <c r="C52" i="2" s="1"/>
  <c r="B53" i="2"/>
  <c r="C53" i="2" s="1"/>
  <c r="B54" i="2"/>
  <c r="C54" i="2" s="1"/>
  <c r="B55" i="2"/>
  <c r="C55" i="2" s="1"/>
  <c r="B56" i="2"/>
  <c r="C56" i="2" s="1"/>
  <c r="B57" i="2"/>
  <c r="C57" i="2" s="1"/>
  <c r="B58" i="2"/>
  <c r="C58" i="2" s="1"/>
  <c r="B59" i="2"/>
  <c r="C59" i="2" s="1"/>
  <c r="E28" i="2" l="1"/>
  <c r="C41" i="2"/>
  <c r="E24" i="2"/>
  <c r="W21" i="2"/>
  <c r="B12" i="2"/>
  <c r="C12" i="2" s="1"/>
  <c r="B5" i="2"/>
  <c r="G49" i="2"/>
  <c r="W29" i="2"/>
  <c r="W22" i="2"/>
  <c r="K59" i="2"/>
  <c r="J59" i="2"/>
  <c r="K58" i="2"/>
  <c r="J58" i="2"/>
  <c r="K54" i="2"/>
  <c r="J54" i="2"/>
  <c r="K50" i="2"/>
  <c r="J50" i="2"/>
  <c r="C48" i="2"/>
  <c r="G46" i="2"/>
  <c r="Q46" i="2"/>
  <c r="C43" i="2"/>
  <c r="G41" i="2"/>
  <c r="Q41" i="2"/>
  <c r="W26" i="2"/>
  <c r="K51" i="2"/>
  <c r="J51" i="2"/>
  <c r="G44" i="2"/>
  <c r="Q44" i="2"/>
  <c r="K41" i="2"/>
  <c r="J41" i="2"/>
  <c r="K57" i="2"/>
  <c r="J57" i="2"/>
  <c r="K53" i="2"/>
  <c r="J53" i="2"/>
  <c r="K45" i="2"/>
  <c r="J45" i="2"/>
  <c r="G43" i="2"/>
  <c r="Q43" i="2"/>
  <c r="F40" i="2"/>
  <c r="B60" i="2"/>
  <c r="K55" i="2"/>
  <c r="J55" i="2"/>
  <c r="G47" i="2"/>
  <c r="Q47" i="2"/>
  <c r="K56" i="2"/>
  <c r="J56" i="2"/>
  <c r="K52" i="2"/>
  <c r="J52" i="2"/>
  <c r="C47" i="2"/>
  <c r="G45" i="2"/>
  <c r="Q45" i="2"/>
  <c r="G42" i="2"/>
  <c r="Q42" i="2"/>
  <c r="W34" i="2"/>
  <c r="W18" i="2"/>
  <c r="X18" i="2" s="1"/>
  <c r="X30" i="2"/>
  <c r="E37" i="2"/>
  <c r="E18" i="2"/>
  <c r="E22" i="2"/>
  <c r="E26" i="2"/>
  <c r="E30" i="2"/>
  <c r="E34" i="2"/>
  <c r="F59" i="2"/>
  <c r="F58" i="2"/>
  <c r="F57" i="2"/>
  <c r="F56" i="2"/>
  <c r="F55" i="2"/>
  <c r="F54" i="2"/>
  <c r="F53" i="2"/>
  <c r="F52" i="2"/>
  <c r="F51" i="2"/>
  <c r="F50" i="2"/>
  <c r="C49" i="2"/>
  <c r="C46" i="2"/>
  <c r="C44" i="2"/>
  <c r="C42" i="2"/>
  <c r="C40" i="2"/>
  <c r="X33" i="2"/>
  <c r="W32" i="2"/>
  <c r="X32" i="2" s="1"/>
  <c r="X29" i="2"/>
  <c r="W28" i="2"/>
  <c r="X28" i="2" s="1"/>
  <c r="X25" i="2"/>
  <c r="W24" i="2"/>
  <c r="X24" i="2" s="1"/>
  <c r="X21" i="2"/>
  <c r="W20" i="2"/>
  <c r="X20" i="2" s="1"/>
  <c r="X37" i="2"/>
  <c r="X34" i="2"/>
  <c r="X26" i="2"/>
  <c r="X22" i="2"/>
  <c r="W36" i="2"/>
  <c r="X36" i="2" s="1"/>
  <c r="E36" i="2"/>
  <c r="E35" i="2"/>
  <c r="E33" i="2"/>
  <c r="E31" i="2"/>
  <c r="E29" i="2"/>
  <c r="E27" i="2"/>
  <c r="E25" i="2"/>
  <c r="E23" i="2"/>
  <c r="E21" i="2"/>
  <c r="E19" i="2"/>
  <c r="W35" i="2"/>
  <c r="X35" i="2" s="1"/>
  <c r="W31" i="2"/>
  <c r="X31" i="2" s="1"/>
  <c r="W27" i="2"/>
  <c r="X27" i="2" s="1"/>
  <c r="W23" i="2"/>
  <c r="X23" i="2" s="1"/>
  <c r="W19" i="2"/>
  <c r="X19" i="2" s="1"/>
  <c r="J18" i="2" l="1"/>
  <c r="J20" i="2"/>
  <c r="J25" i="2"/>
  <c r="J30" i="2"/>
  <c r="J32" i="2"/>
  <c r="J34" i="2"/>
  <c r="J36" i="2"/>
  <c r="J37" i="2"/>
  <c r="J22" i="2"/>
  <c r="J27" i="2"/>
  <c r="J29" i="2"/>
  <c r="J19" i="2"/>
  <c r="J21" i="2"/>
  <c r="J24" i="2"/>
  <c r="J31" i="2"/>
  <c r="J33" i="2"/>
  <c r="J35" i="2"/>
  <c r="J23" i="2"/>
  <c r="J26" i="2"/>
  <c r="J28" i="2"/>
  <c r="K40" i="2"/>
  <c r="C60" i="2"/>
  <c r="J40" i="2"/>
  <c r="K49" i="2"/>
  <c r="J49" i="2"/>
  <c r="G53" i="2"/>
  <c r="Q53" i="2"/>
  <c r="G57" i="2"/>
  <c r="Q57" i="2"/>
  <c r="G40" i="2"/>
  <c r="F60" i="2"/>
  <c r="Q40" i="2"/>
  <c r="K43" i="2"/>
  <c r="J43" i="2"/>
  <c r="K42" i="2"/>
  <c r="J42" i="2"/>
  <c r="G50" i="2"/>
  <c r="Q50" i="2"/>
  <c r="G54" i="2"/>
  <c r="Q54" i="2"/>
  <c r="G58" i="2"/>
  <c r="Q58" i="2"/>
  <c r="K44" i="2"/>
  <c r="J44" i="2"/>
  <c r="G51" i="2"/>
  <c r="Q51" i="2"/>
  <c r="G55" i="2"/>
  <c r="Q55" i="2"/>
  <c r="G59" i="2"/>
  <c r="Q59" i="2"/>
  <c r="K46" i="2"/>
  <c r="J46" i="2"/>
  <c r="G52" i="2"/>
  <c r="Q52" i="2"/>
  <c r="G56" i="2"/>
  <c r="Q56" i="2"/>
  <c r="K47" i="2"/>
  <c r="J47" i="2"/>
  <c r="K48" i="2"/>
  <c r="J48" i="2"/>
  <c r="K26" i="2" l="1"/>
  <c r="M26" i="2" s="1"/>
  <c r="L26" i="2"/>
  <c r="N26" i="2" s="1"/>
  <c r="K29" i="2"/>
  <c r="M29" i="2" s="1"/>
  <c r="L29" i="2"/>
  <c r="N29" i="2" s="1"/>
  <c r="L25" i="2"/>
  <c r="N25" i="2" s="1"/>
  <c r="K25" i="2"/>
  <c r="M25" i="2" s="1"/>
  <c r="K23" i="2"/>
  <c r="M23" i="2" s="1"/>
  <c r="L23" i="2"/>
  <c r="N23" i="2" s="1"/>
  <c r="O23" i="2" s="1"/>
  <c r="L24" i="2"/>
  <c r="N24" i="2" s="1"/>
  <c r="K24" i="2"/>
  <c r="M24" i="2" s="1"/>
  <c r="K27" i="2"/>
  <c r="M27" i="2" s="1"/>
  <c r="L27" i="2"/>
  <c r="N27" i="2" s="1"/>
  <c r="O27" i="2" s="1"/>
  <c r="K34" i="2"/>
  <c r="M34" i="2" s="1"/>
  <c r="L34" i="2"/>
  <c r="N34" i="2" s="1"/>
  <c r="L20" i="2"/>
  <c r="N20" i="2" s="1"/>
  <c r="K20" i="2"/>
  <c r="M20" i="2" s="1"/>
  <c r="K31" i="2"/>
  <c r="M31" i="2" s="1"/>
  <c r="L31" i="2"/>
  <c r="N31" i="2" s="1"/>
  <c r="K36" i="2"/>
  <c r="M36" i="2" s="1"/>
  <c r="L36" i="2"/>
  <c r="N36" i="2" s="1"/>
  <c r="O36" i="2" s="1"/>
  <c r="L35" i="2"/>
  <c r="N35" i="2" s="1"/>
  <c r="K35" i="2"/>
  <c r="M35" i="2" s="1"/>
  <c r="K21" i="2"/>
  <c r="M21" i="2" s="1"/>
  <c r="L21" i="2"/>
  <c r="N21" i="2" s="1"/>
  <c r="O21" i="2" s="1"/>
  <c r="K22" i="2"/>
  <c r="M22" i="2" s="1"/>
  <c r="L22" i="2"/>
  <c r="N22" i="2" s="1"/>
  <c r="L32" i="2"/>
  <c r="N32" i="2" s="1"/>
  <c r="K32" i="2"/>
  <c r="M32" i="2" s="1"/>
  <c r="K18" i="2"/>
  <c r="M18" i="2" s="1"/>
  <c r="O26" i="2" s="1"/>
  <c r="L18" i="2"/>
  <c r="N18" i="2" s="1"/>
  <c r="K28" i="2"/>
  <c r="M28" i="2" s="1"/>
  <c r="L28" i="2"/>
  <c r="N28" i="2" s="1"/>
  <c r="L33" i="2"/>
  <c r="N33" i="2" s="1"/>
  <c r="O33" i="2" s="1"/>
  <c r="K33" i="2"/>
  <c r="M33" i="2" s="1"/>
  <c r="L19" i="2"/>
  <c r="N19" i="2" s="1"/>
  <c r="O19" i="2" s="1"/>
  <c r="K19" i="2"/>
  <c r="M19" i="2" s="1"/>
  <c r="L37" i="2"/>
  <c r="N37" i="2" s="1"/>
  <c r="O37" i="2" s="1"/>
  <c r="K37" i="2"/>
  <c r="M37" i="2" s="1"/>
  <c r="K30" i="2"/>
  <c r="M30" i="2" s="1"/>
  <c r="L30" i="2"/>
  <c r="N30" i="2" s="1"/>
  <c r="Q60" i="2"/>
  <c r="V41" i="2" s="1"/>
  <c r="V43" i="2" s="1"/>
  <c r="J60" i="2"/>
  <c r="O41" i="2" s="1"/>
  <c r="G60" i="2"/>
  <c r="K60" i="2"/>
  <c r="O25" i="2"/>
  <c r="O29" i="2"/>
  <c r="O35" i="2"/>
  <c r="O31" i="2"/>
  <c r="O30" i="2"/>
  <c r="O28" i="2"/>
  <c r="O34" i="2"/>
  <c r="O20" i="2"/>
  <c r="R30" i="2" l="1"/>
  <c r="T30" i="2" s="1"/>
  <c r="P30" i="2"/>
  <c r="R23" i="2"/>
  <c r="T23" i="2" s="1"/>
  <c r="P23" i="2"/>
  <c r="Q23" i="2" s="1"/>
  <c r="O32" i="2"/>
  <c r="Q32" i="2" s="1"/>
  <c r="R19" i="2"/>
  <c r="T19" i="2" s="1"/>
  <c r="P19" i="2"/>
  <c r="Q19" i="2" s="1"/>
  <c r="Q28" i="2"/>
  <c r="P28" i="2"/>
  <c r="R28" i="2"/>
  <c r="R21" i="2"/>
  <c r="T21" i="2" s="1"/>
  <c r="P21" i="2"/>
  <c r="Q21" i="2" s="1"/>
  <c r="R36" i="2"/>
  <c r="T36" i="2" s="1"/>
  <c r="P36" i="2"/>
  <c r="Q36" i="2" s="1"/>
  <c r="R27" i="2"/>
  <c r="T27" i="2" s="1"/>
  <c r="P27" i="2"/>
  <c r="R29" i="2"/>
  <c r="T29" i="2" s="1"/>
  <c r="P29" i="2"/>
  <c r="P32" i="2"/>
  <c r="R32" i="2"/>
  <c r="T32" i="2" s="1"/>
  <c r="P20" i="2"/>
  <c r="R20" i="2"/>
  <c r="T20" i="2" s="1"/>
  <c r="O22" i="2"/>
  <c r="O24" i="2"/>
  <c r="S24" i="2" s="1"/>
  <c r="U24" i="2" s="1"/>
  <c r="V44" i="2"/>
  <c r="F3" i="2" s="1"/>
  <c r="O18" i="2"/>
  <c r="P18" i="2"/>
  <c r="Q18" i="2" s="1"/>
  <c r="R18" i="2"/>
  <c r="P22" i="2"/>
  <c r="R22" i="2"/>
  <c r="T22" i="2" s="1"/>
  <c r="R31" i="2"/>
  <c r="T31" i="2" s="1"/>
  <c r="P31" i="2"/>
  <c r="P34" i="2"/>
  <c r="R34" i="2"/>
  <c r="T34" i="2" s="1"/>
  <c r="P26" i="2"/>
  <c r="Q26" i="2" s="1"/>
  <c r="R26" i="2"/>
  <c r="P37" i="2"/>
  <c r="Q37" i="2" s="1"/>
  <c r="R37" i="2"/>
  <c r="T37" i="2" s="1"/>
  <c r="R33" i="2"/>
  <c r="T33" i="2" s="1"/>
  <c r="P33" i="2"/>
  <c r="Q33" i="2" s="1"/>
  <c r="R35" i="2"/>
  <c r="T35" i="2" s="1"/>
  <c r="P35" i="2"/>
  <c r="R24" i="2"/>
  <c r="T24" i="2" s="1"/>
  <c r="P24" i="2"/>
  <c r="Q24" i="2" s="1"/>
  <c r="R25" i="2"/>
  <c r="T25" i="2" s="1"/>
  <c r="P25" i="2"/>
  <c r="O46" i="2"/>
  <c r="O42" i="2"/>
  <c r="O44" i="2" s="1"/>
  <c r="F2" i="2"/>
  <c r="Q20" i="2"/>
  <c r="S37" i="2"/>
  <c r="S33" i="2"/>
  <c r="S22" i="2"/>
  <c r="U22" i="2" s="1"/>
  <c r="S36" i="2"/>
  <c r="U36" i="2" s="1"/>
  <c r="Q31" i="2"/>
  <c r="S31" i="2"/>
  <c r="Q29" i="2"/>
  <c r="S29" i="2"/>
  <c r="Q30" i="2"/>
  <c r="Q34" i="2"/>
  <c r="Q35" i="2"/>
  <c r="S35" i="2"/>
  <c r="S25" i="2"/>
  <c r="Q25" i="2"/>
  <c r="Q27" i="2"/>
  <c r="S27" i="2"/>
  <c r="S21" i="2"/>
  <c r="S19" i="2" l="1"/>
  <c r="U19" i="2" s="1"/>
  <c r="S23" i="2"/>
  <c r="S26" i="2"/>
  <c r="U26" i="2" s="1"/>
  <c r="T26" i="2"/>
  <c r="V26" i="2" s="1"/>
  <c r="T18" i="2"/>
  <c r="S18" i="2"/>
  <c r="U18" i="2" s="1"/>
  <c r="V24" i="2"/>
  <c r="Q22" i="2"/>
  <c r="S34" i="2"/>
  <c r="S30" i="2"/>
  <c r="U30" i="2" s="1"/>
  <c r="V22" i="2"/>
  <c r="S32" i="2"/>
  <c r="U32" i="2" s="1"/>
  <c r="S40" i="2"/>
  <c r="S28" i="2"/>
  <c r="U28" i="2" s="1"/>
  <c r="T28" i="2"/>
  <c r="V28" i="2" s="1"/>
  <c r="S20" i="2"/>
  <c r="U25" i="2"/>
  <c r="V25" i="2"/>
  <c r="U29" i="2"/>
  <c r="V29" i="2"/>
  <c r="U31" i="2"/>
  <c r="V31" i="2"/>
  <c r="U37" i="2"/>
  <c r="V37" i="2"/>
  <c r="U21" i="2"/>
  <c r="V21" i="2"/>
  <c r="U35" i="2"/>
  <c r="V35" i="2"/>
  <c r="U33" i="2"/>
  <c r="V33" i="2"/>
  <c r="U23" i="2"/>
  <c r="V23" i="2"/>
  <c r="U27" i="2"/>
  <c r="V27" i="2"/>
  <c r="V36" i="2"/>
  <c r="V19" i="2" l="1"/>
  <c r="U34" i="2"/>
  <c r="V34" i="2"/>
  <c r="V30" i="2"/>
  <c r="U20" i="2"/>
  <c r="V20" i="2"/>
  <c r="V18" i="2"/>
  <c r="V32" i="2"/>
  <c r="O43" i="2"/>
  <c r="L47" i="2" l="1"/>
  <c r="M47" i="2" s="1"/>
  <c r="L40" i="2"/>
  <c r="L43" i="2"/>
  <c r="M43" i="2" s="1"/>
  <c r="L56" i="2"/>
  <c r="M56" i="2" s="1"/>
  <c r="L45" i="2"/>
  <c r="M45" i="2" s="1"/>
  <c r="L50" i="2"/>
  <c r="M50" i="2" s="1"/>
  <c r="L44" i="2"/>
  <c r="M44" i="2" s="1"/>
  <c r="L48" i="2"/>
  <c r="M48" i="2" s="1"/>
  <c r="L49" i="2"/>
  <c r="M49" i="2" s="1"/>
  <c r="L51" i="2"/>
  <c r="M51" i="2" s="1"/>
  <c r="L59" i="2"/>
  <c r="M59" i="2" s="1"/>
  <c r="L58" i="2"/>
  <c r="M58" i="2" s="1"/>
  <c r="L52" i="2"/>
  <c r="M52" i="2" s="1"/>
  <c r="L46" i="2"/>
  <c r="M46" i="2" s="1"/>
  <c r="L53" i="2"/>
  <c r="M53" i="2" s="1"/>
  <c r="L57" i="2"/>
  <c r="M57" i="2" s="1"/>
  <c r="L41" i="2"/>
  <c r="M41" i="2" s="1"/>
  <c r="L55" i="2"/>
  <c r="M55" i="2" s="1"/>
  <c r="L54" i="2"/>
  <c r="M54" i="2" s="1"/>
  <c r="L42" i="2"/>
  <c r="M42" i="2" s="1"/>
  <c r="L60" i="2" l="1"/>
  <c r="M40" i="2"/>
  <c r="M60" i="2" s="1"/>
  <c r="O45" i="2" s="1"/>
  <c r="O47" i="2" l="1"/>
  <c r="O48" i="2"/>
  <c r="S53" i="2"/>
  <c r="T53" i="2" s="1"/>
  <c r="S46" i="2" l="1"/>
  <c r="T46" i="2" s="1"/>
  <c r="S50" i="2"/>
  <c r="T50" i="2" s="1"/>
  <c r="S52" i="2"/>
  <c r="T52" i="2" s="1"/>
  <c r="S49" i="2"/>
  <c r="T49" i="2" s="1"/>
  <c r="S44" i="2"/>
  <c r="T44" i="2" s="1"/>
  <c r="S48" i="2"/>
  <c r="T48" i="2" s="1"/>
  <c r="S45" i="2"/>
  <c r="T45" i="2" s="1"/>
  <c r="S57" i="2"/>
  <c r="T57" i="2" s="1"/>
  <c r="S58" i="2"/>
  <c r="T58" i="2" s="1"/>
  <c r="S42" i="2"/>
  <c r="T42" i="2" s="1"/>
  <c r="S55" i="2"/>
  <c r="T55" i="2" s="1"/>
  <c r="S47" i="2"/>
  <c r="T47" i="2" s="1"/>
  <c r="S56" i="2"/>
  <c r="T56" i="2" s="1"/>
  <c r="S51" i="2"/>
  <c r="T51" i="2" s="1"/>
  <c r="S43" i="2"/>
  <c r="T43" i="2" s="1"/>
  <c r="S41" i="2"/>
  <c r="T41" i="2" s="1"/>
  <c r="S59" i="2"/>
  <c r="T59" i="2" s="1"/>
  <c r="S54" i="2"/>
  <c r="T54" i="2" s="1"/>
  <c r="S60" i="2" l="1"/>
  <c r="T40" i="2"/>
  <c r="T60" i="2" s="1"/>
  <c r="V45" i="2" s="1"/>
  <c r="V48" i="2" s="1"/>
  <c r="G3" i="2" s="1"/>
  <c r="V47" i="2" l="1"/>
  <c r="G2" i="2" s="1"/>
</calcChain>
</file>

<file path=xl/sharedStrings.xml><?xml version="1.0" encoding="utf-8"?>
<sst xmlns="http://schemas.openxmlformats.org/spreadsheetml/2006/main" count="201" uniqueCount="111">
  <si>
    <t>S</t>
  </si>
  <si>
    <t>f/(1+f)</t>
  </si>
  <si>
    <t>(1+f)</t>
  </si>
  <si>
    <t>f</t>
  </si>
  <si>
    <t>S/N</t>
  </si>
  <si>
    <t>distance</t>
  </si>
  <si>
    <t>{ }=R0^6/Ft</t>
  </si>
  <si>
    <r>
      <t>kt=</t>
    </r>
    <r>
      <rPr>
        <b/>
        <sz val="10"/>
        <rFont val="Symbol"/>
        <family val="1"/>
        <charset val="2"/>
      </rPr>
      <t>F</t>
    </r>
    <r>
      <rPr>
        <b/>
        <sz val="10"/>
        <rFont val="Arial"/>
        <family val="2"/>
      </rPr>
      <t>t/tauD</t>
    </r>
  </si>
  <si>
    <r>
      <t>F</t>
    </r>
    <r>
      <rPr>
        <b/>
        <sz val="11"/>
        <color theme="1"/>
        <rFont val="Calibri"/>
        <family val="2"/>
        <scheme val="minor"/>
      </rPr>
      <t>t</t>
    </r>
    <r>
      <rPr>
        <b/>
        <sz val="10"/>
        <rFont val="Calibri Light"/>
        <family val="2"/>
      </rPr>
      <t>=&lt;tdiff&gt;/[]</t>
    </r>
  </si>
  <si>
    <r>
      <t>[G*</t>
    </r>
    <r>
      <rPr>
        <b/>
        <sz val="10"/>
        <rFont val="Symbol"/>
        <family val="1"/>
        <charset val="2"/>
      </rPr>
      <t>t</t>
    </r>
    <r>
      <rPr>
        <b/>
        <sz val="10"/>
        <rFont val="Arial"/>
        <family val="1"/>
        <charset val="2"/>
      </rPr>
      <t>a-</t>
    </r>
    <r>
      <rPr>
        <b/>
        <sz val="10"/>
        <rFont val="Symbol"/>
        <family val="1"/>
        <charset val="2"/>
      </rPr>
      <t>t</t>
    </r>
    <r>
      <rPr>
        <b/>
        <sz val="10"/>
        <rFont val="Arial"/>
        <family val="1"/>
        <charset val="2"/>
      </rPr>
      <t>D/(1+r)]</t>
    </r>
  </si>
  <si>
    <r>
      <t>Gain*</t>
    </r>
    <r>
      <rPr>
        <b/>
        <sz val="8"/>
        <rFont val="Symbol"/>
        <family val="1"/>
        <charset val="2"/>
      </rPr>
      <t>t</t>
    </r>
    <r>
      <rPr>
        <b/>
        <sz val="8"/>
        <rFont val="Arial"/>
        <family val="1"/>
        <charset val="2"/>
      </rPr>
      <t>a</t>
    </r>
  </si>
  <si>
    <r>
      <rPr>
        <b/>
        <sz val="10"/>
        <rFont val="Symbol"/>
        <family val="1"/>
        <charset val="2"/>
      </rPr>
      <t>&lt;t</t>
    </r>
    <r>
      <rPr>
        <b/>
        <sz val="10"/>
        <rFont val="Arial"/>
        <family val="2"/>
      </rPr>
      <t xml:space="preserve"> diff&gt;</t>
    </r>
  </si>
  <si>
    <r>
      <rPr>
        <b/>
        <sz val="10"/>
        <rFont val="Symbol"/>
        <family val="1"/>
        <charset val="2"/>
      </rPr>
      <t>&lt;t</t>
    </r>
    <r>
      <rPr>
        <b/>
        <sz val="10"/>
        <rFont val="Arial"/>
        <family val="2"/>
      </rPr>
      <t>std&gt;</t>
    </r>
  </si>
  <si>
    <r>
      <rPr>
        <b/>
        <sz val="10"/>
        <rFont val="Symbol"/>
        <family val="1"/>
        <charset val="2"/>
      </rPr>
      <t>t</t>
    </r>
    <r>
      <rPr>
        <b/>
        <sz val="10"/>
        <rFont val="Arial"/>
        <family val="2"/>
      </rPr>
      <t>D/(1+r)</t>
    </r>
  </si>
  <si>
    <t xml:space="preserve">f dilution  </t>
  </si>
  <si>
    <t>39mer (34mer)</t>
  </si>
  <si>
    <t>r/(r+1)</t>
  </si>
  <si>
    <t>1/(r+1)</t>
  </si>
  <si>
    <t>Ro ^6</t>
  </si>
  <si>
    <t>Ro</t>
  </si>
  <si>
    <t>Gain</t>
  </si>
  <si>
    <t>(1-Sd)</t>
  </si>
  <si>
    <t>intercept</t>
  </si>
  <si>
    <t xml:space="preserve">E </t>
  </si>
  <si>
    <t>slope</t>
  </si>
  <si>
    <t>r</t>
  </si>
  <si>
    <t>value</t>
  </si>
  <si>
    <t>34N</t>
  </si>
  <si>
    <t>Parameters</t>
  </si>
  <si>
    <t>std</t>
  </si>
  <si>
    <t>average</t>
  </si>
  <si>
    <t>set25</t>
  </si>
  <si>
    <t>set24</t>
  </si>
  <si>
    <t>set23</t>
  </si>
  <si>
    <t>set22</t>
  </si>
  <si>
    <t>set21</t>
  </si>
  <si>
    <t>set20</t>
  </si>
  <si>
    <t>set19</t>
  </si>
  <si>
    <t>set18</t>
  </si>
  <si>
    <t>set17</t>
  </si>
  <si>
    <t>set16</t>
  </si>
  <si>
    <t>set15</t>
  </si>
  <si>
    <t>set14</t>
  </si>
  <si>
    <t>set13</t>
  </si>
  <si>
    <t>set12</t>
  </si>
  <si>
    <t>chi2</t>
  </si>
  <si>
    <t>set11</t>
  </si>
  <si>
    <t>set10</t>
  </si>
  <si>
    <t>set9</t>
  </si>
  <si>
    <t>set8</t>
  </si>
  <si>
    <t>set7</t>
  </si>
  <si>
    <t>set6</t>
  </si>
  <si>
    <t>set5</t>
  </si>
  <si>
    <t>set4</t>
  </si>
  <si>
    <t>set3</t>
  </si>
  <si>
    <t>set2</t>
  </si>
  <si>
    <t>set1</t>
  </si>
  <si>
    <t xml:space="preserve">dilution </t>
  </si>
  <si>
    <t>set 4</t>
  </si>
  <si>
    <t>set 3</t>
  </si>
  <si>
    <t>set 2</t>
  </si>
  <si>
    <t>set 1</t>
  </si>
  <si>
    <t>fits</t>
  </si>
  <si>
    <r>
      <rPr>
        <b/>
        <sz val="10"/>
        <rFont val="Symbol"/>
        <family val="1"/>
        <charset val="2"/>
      </rPr>
      <t>c</t>
    </r>
    <r>
      <rPr>
        <b/>
        <sz val="10"/>
        <rFont val="Arial"/>
        <family val="2"/>
      </rPr>
      <t>2</t>
    </r>
  </si>
  <si>
    <t>c2</t>
  </si>
  <si>
    <t xml:space="preserve">std mixt. </t>
  </si>
  <si>
    <t xml:space="preserve">fits </t>
  </si>
  <si>
    <t>dil 2</t>
  </si>
  <si>
    <t>dil 1.75</t>
  </si>
  <si>
    <t>dil 1.5</t>
  </si>
  <si>
    <t xml:space="preserve">dil 0.875 </t>
  </si>
  <si>
    <t xml:space="preserve">dil 0.25  </t>
  </si>
  <si>
    <t>dil 0.5</t>
  </si>
  <si>
    <t>dil 0.75</t>
  </si>
  <si>
    <t>dil 1</t>
  </si>
  <si>
    <t>dil 1.25</t>
  </si>
  <si>
    <t>dil 30</t>
  </si>
  <si>
    <t>dil 15</t>
  </si>
  <si>
    <t>dil 12</t>
  </si>
  <si>
    <t>dil 10</t>
  </si>
  <si>
    <t>dil 7.5</t>
  </si>
  <si>
    <t>dil 5.18</t>
  </si>
  <si>
    <t>dil 4</t>
  </si>
  <si>
    <t>dil 40</t>
  </si>
  <si>
    <t>dil 20</t>
  </si>
  <si>
    <t>Lifetime</t>
  </si>
  <si>
    <t xml:space="preserve">xi yi </t>
  </si>
  <si>
    <t>x^2</t>
  </si>
  <si>
    <t>calc</t>
  </si>
  <si>
    <t>(diff)^2</t>
  </si>
  <si>
    <t>diff</t>
  </si>
  <si>
    <t>n</t>
  </si>
  <si>
    <t>numerator</t>
  </si>
  <si>
    <t>denominator</t>
  </si>
  <si>
    <t>m slope</t>
  </si>
  <si>
    <t>b intercept</t>
  </si>
  <si>
    <r>
      <t>(n</t>
    </r>
    <r>
      <rPr>
        <b/>
        <sz val="10"/>
        <rFont val="Symbol"/>
        <family val="1"/>
        <charset val="2"/>
      </rPr>
      <t>S</t>
    </r>
    <r>
      <rPr>
        <b/>
        <sz val="9"/>
        <rFont val="Arial"/>
        <family val="2"/>
      </rPr>
      <t>x^2)</t>
    </r>
    <r>
      <rPr>
        <b/>
        <sz val="7"/>
        <rFont val="Arial"/>
        <family val="2"/>
      </rPr>
      <t>-</t>
    </r>
    <r>
      <rPr>
        <b/>
        <sz val="9"/>
        <rFont val="Times New Roman"/>
        <family val="1"/>
      </rPr>
      <t>(</t>
    </r>
    <r>
      <rPr>
        <b/>
        <sz val="9"/>
        <rFont val="Symbol"/>
        <family val="1"/>
        <charset val="2"/>
      </rPr>
      <t>S</t>
    </r>
    <r>
      <rPr>
        <b/>
        <sz val="9"/>
        <rFont val="Times New Roman"/>
        <family val="1"/>
      </rPr>
      <t>x)^2</t>
    </r>
  </si>
  <si>
    <t>m error</t>
  </si>
  <si>
    <t>b error</t>
  </si>
  <si>
    <r>
      <t xml:space="preserve"> </t>
    </r>
    <r>
      <rPr>
        <b/>
        <sz val="10"/>
        <rFont val="Symbol"/>
        <family val="1"/>
        <charset val="2"/>
      </rPr>
      <t>S</t>
    </r>
  </si>
  <si>
    <r>
      <rPr>
        <b/>
        <sz val="10"/>
        <rFont val="Symbol"/>
        <family val="1"/>
        <charset val="2"/>
      </rPr>
      <t>t</t>
    </r>
    <r>
      <rPr>
        <b/>
        <sz val="6"/>
        <rFont val="Arial"/>
        <family val="2"/>
      </rPr>
      <t>ADFRET</t>
    </r>
  </si>
  <si>
    <r>
      <rPr>
        <b/>
        <sz val="10"/>
        <rFont val="Symbol"/>
        <family val="1"/>
        <charset val="2"/>
      </rPr>
      <t>t</t>
    </r>
    <r>
      <rPr>
        <b/>
        <sz val="10"/>
        <rFont val="Arial"/>
        <family val="2"/>
      </rPr>
      <t>ADFRET</t>
    </r>
  </si>
  <si>
    <t>Error_plot F</t>
  </si>
  <si>
    <t>Error_plot G</t>
  </si>
  <si>
    <r>
      <rPr>
        <b/>
        <sz val="8"/>
        <rFont val="Symbol"/>
        <family val="1"/>
        <charset val="2"/>
      </rPr>
      <t>t</t>
    </r>
    <r>
      <rPr>
        <b/>
        <sz val="8"/>
        <rFont val="Arial"/>
        <family val="2"/>
      </rPr>
      <t>ADFRET(1+f)</t>
    </r>
  </si>
  <si>
    <r>
      <rPr>
        <b/>
        <sz val="10"/>
        <rFont val="Symbol"/>
        <family val="1"/>
        <charset val="2"/>
      </rPr>
      <t>&lt;t</t>
    </r>
    <r>
      <rPr>
        <b/>
        <vertAlign val="subscript"/>
        <sz val="10"/>
        <rFont val="Arial"/>
        <family val="2"/>
      </rPr>
      <t>std</t>
    </r>
    <r>
      <rPr>
        <b/>
        <sz val="10"/>
        <rFont val="Arial"/>
        <family val="2"/>
      </rPr>
      <t>&gt;</t>
    </r>
    <r>
      <rPr>
        <b/>
        <sz val="10"/>
        <rFont val="Arial"/>
        <family val="1"/>
        <charset val="2"/>
      </rPr>
      <t xml:space="preserve"> fit</t>
    </r>
  </si>
  <si>
    <r>
      <rPr>
        <b/>
        <sz val="10"/>
        <rFont val="Symbol"/>
        <family val="1"/>
        <charset val="2"/>
      </rPr>
      <t>&lt;t</t>
    </r>
    <r>
      <rPr>
        <b/>
        <vertAlign val="subscript"/>
        <sz val="10"/>
        <rFont val="Arial"/>
        <family val="2"/>
      </rPr>
      <t>std</t>
    </r>
    <r>
      <rPr>
        <b/>
        <sz val="10"/>
        <rFont val="Arial"/>
        <family val="2"/>
      </rPr>
      <t>&gt;</t>
    </r>
    <r>
      <rPr>
        <b/>
        <sz val="10"/>
        <rFont val="Arial"/>
        <family val="1"/>
        <charset val="2"/>
      </rPr>
      <t xml:space="preserve"> set</t>
    </r>
  </si>
  <si>
    <t>Std</t>
  </si>
  <si>
    <r>
      <t>t</t>
    </r>
    <r>
      <rPr>
        <b/>
        <sz val="10"/>
        <rFont val="Times New Roman"/>
        <family val="1"/>
      </rPr>
      <t>D</t>
    </r>
  </si>
  <si>
    <r>
      <t>&lt;t</t>
    </r>
    <r>
      <rPr>
        <b/>
        <sz val="10"/>
        <rFont val="Arial"/>
        <family val="2"/>
      </rPr>
      <t>A&gt;</t>
    </r>
  </si>
  <si>
    <r>
      <t>&lt;t</t>
    </r>
    <r>
      <rPr>
        <b/>
        <sz val="10"/>
        <rFont val="Arial"/>
        <family val="2"/>
      </rPr>
      <t>D&gt;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</si>
</sst>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0.000000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sz val="10"/>
      <name val="Calibri Light"/>
      <family val="2"/>
    </font>
    <font>
      <b/>
      <sz val="10"/>
      <name val="Arial"/>
      <family val="1"/>
      <charset val="2"/>
    </font>
    <font>
      <b/>
      <sz val="8"/>
      <name val="Arial"/>
      <family val="1"/>
      <charset val="2"/>
    </font>
    <font>
      <b/>
      <sz val="8"/>
      <name val="Symbol"/>
      <family val="1"/>
      <charset val="2"/>
    </font>
    <font>
      <b/>
      <sz val="10"/>
      <name val="Times New Roman"/>
      <family val="1"/>
    </font>
    <font>
      <sz val="10"/>
      <color indexed="22"/>
      <name val="Arial"/>
      <family val="2"/>
    </font>
    <font>
      <b/>
      <vertAlign val="subscript"/>
      <sz val="10"/>
      <name val="Arial"/>
      <family val="2"/>
    </font>
    <font>
      <b/>
      <sz val="10"/>
      <name val="MS Sans Serif"/>
    </font>
    <font>
      <b/>
      <sz val="10"/>
      <color indexed="2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9"/>
      <name val="Times New Roman"/>
      <family val="1"/>
    </font>
    <font>
      <b/>
      <sz val="9"/>
      <name val="Symbol"/>
      <family val="1"/>
      <charset val="2"/>
    </font>
    <font>
      <b/>
      <sz val="6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15" fillId="0" borderId="0"/>
    <xf numFmtId="0" fontId="2" fillId="0" borderId="0"/>
  </cellStyleXfs>
  <cellXfs count="124">
    <xf numFmtId="0" fontId="0" fillId="0" borderId="0" xfId="0"/>
    <xf numFmtId="0" fontId="2" fillId="0" borderId="0" xfId="1"/>
    <xf numFmtId="0" fontId="3" fillId="0" borderId="0" xfId="2"/>
    <xf numFmtId="11" fontId="3" fillId="0" borderId="0" xfId="2" applyNumberFormat="1"/>
    <xf numFmtId="0" fontId="4" fillId="0" borderId="0" xfId="1" applyFont="1"/>
    <xf numFmtId="164" fontId="2" fillId="0" borderId="1" xfId="1" applyNumberFormat="1" applyBorder="1"/>
    <xf numFmtId="164" fontId="2" fillId="2" borderId="1" xfId="1" applyNumberFormat="1" applyFill="1" applyBorder="1"/>
    <xf numFmtId="164" fontId="2" fillId="0" borderId="1" xfId="1" applyNumberFormat="1" applyBorder="1" applyAlignment="1">
      <alignment horizontal="center"/>
    </xf>
    <xf numFmtId="164" fontId="2" fillId="2" borderId="1" xfId="1" applyNumberFormat="1" applyFill="1" applyBorder="1" applyAlignment="1">
      <alignment horizontal="center"/>
    </xf>
    <xf numFmtId="165" fontId="2" fillId="2" borderId="1" xfId="1" applyNumberFormat="1" applyFill="1" applyBorder="1"/>
    <xf numFmtId="2" fontId="2" fillId="2" borderId="1" xfId="1" applyNumberFormat="1" applyFill="1" applyBorder="1" applyAlignment="1">
      <alignment horizontal="center"/>
    </xf>
    <xf numFmtId="166" fontId="2" fillId="0" borderId="1" xfId="1" applyNumberFormat="1" applyBorder="1" applyAlignment="1">
      <alignment horizontal="center"/>
    </xf>
    <xf numFmtId="0" fontId="4" fillId="3" borderId="1" xfId="1" applyFont="1" applyFill="1" applyBorder="1"/>
    <xf numFmtId="0" fontId="4" fillId="3" borderId="1" xfId="1" applyFont="1" applyFill="1" applyBorder="1" applyAlignment="1">
      <alignment horizontal="center"/>
    </xf>
    <xf numFmtId="0" fontId="4" fillId="3" borderId="1" xfId="3" applyFont="1" applyFill="1" applyBorder="1" applyAlignment="1">
      <alignment horizontal="center"/>
    </xf>
    <xf numFmtId="164" fontId="2" fillId="0" borderId="0" xfId="1" applyNumberFormat="1"/>
    <xf numFmtId="164" fontId="2" fillId="4" borderId="1" xfId="3" applyNumberFormat="1" applyFill="1" applyBorder="1" applyAlignment="1">
      <alignment horizontal="center"/>
    </xf>
    <xf numFmtId="165" fontId="2" fillId="0" borderId="1" xfId="3" applyNumberFormat="1" applyBorder="1"/>
    <xf numFmtId="165" fontId="2" fillId="4" borderId="1" xfId="1" applyNumberFormat="1" applyFill="1" applyBorder="1"/>
    <xf numFmtId="11" fontId="2" fillId="0" borderId="1" xfId="1" applyNumberFormat="1" applyBorder="1"/>
    <xf numFmtId="11" fontId="2" fillId="4" borderId="1" xfId="3" applyNumberFormat="1" applyFill="1" applyBorder="1" applyAlignment="1">
      <alignment horizontal="center"/>
    </xf>
    <xf numFmtId="166" fontId="2" fillId="2" borderId="1" xfId="1" applyNumberFormat="1" applyFill="1" applyBorder="1"/>
    <xf numFmtId="166" fontId="2" fillId="0" borderId="1" xfId="1" applyNumberFormat="1" applyBorder="1"/>
    <xf numFmtId="165" fontId="2" fillId="2" borderId="1" xfId="1" applyNumberFormat="1" applyFill="1" applyBorder="1" applyAlignment="1">
      <alignment horizontal="center"/>
    </xf>
    <xf numFmtId="0" fontId="7" fillId="3" borderId="2" xfId="3" applyFont="1" applyFill="1" applyBorder="1" applyAlignment="1">
      <alignment horizontal="center"/>
    </xf>
    <xf numFmtId="0" fontId="2" fillId="6" borderId="2" xfId="1" applyFill="1" applyBorder="1"/>
    <xf numFmtId="166" fontId="2" fillId="6" borderId="0" xfId="1" applyNumberFormat="1" applyFill="1"/>
    <xf numFmtId="0" fontId="2" fillId="6" borderId="0" xfId="1" applyFill="1" applyAlignment="1">
      <alignment horizontal="center"/>
    </xf>
    <xf numFmtId="166" fontId="2" fillId="6" borderId="0" xfId="1" applyNumberFormat="1" applyFill="1" applyAlignment="1">
      <alignment horizontal="center"/>
    </xf>
    <xf numFmtId="165" fontId="2" fillId="0" borderId="0" xfId="1" applyNumberFormat="1" applyAlignment="1">
      <alignment horizontal="center"/>
    </xf>
    <xf numFmtId="0" fontId="11" fillId="0" borderId="0" xfId="1" applyFont="1"/>
    <xf numFmtId="164" fontId="2" fillId="4" borderId="1" xfId="1" applyNumberForma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2" fillId="4" borderId="1" xfId="1" applyFill="1" applyBorder="1" applyAlignment="1">
      <alignment horizontal="center"/>
    </xf>
    <xf numFmtId="0" fontId="2" fillId="4" borderId="1" xfId="3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165" fontId="2" fillId="4" borderId="1" xfId="1" applyNumberFormat="1" applyFill="1" applyBorder="1" applyAlignment="1">
      <alignment horizontal="center"/>
    </xf>
    <xf numFmtId="2" fontId="2" fillId="4" borderId="1" xfId="1" applyNumberFormat="1" applyFill="1" applyBorder="1" applyAlignment="1">
      <alignment horizontal="center"/>
    </xf>
    <xf numFmtId="164" fontId="3" fillId="0" borderId="1" xfId="2" applyNumberFormat="1" applyBorder="1"/>
    <xf numFmtId="0" fontId="13" fillId="0" borderId="1" xfId="2" applyFont="1" applyBorder="1"/>
    <xf numFmtId="0" fontId="4" fillId="0" borderId="1" xfId="1" applyFont="1" applyBorder="1"/>
    <xf numFmtId="0" fontId="14" fillId="0" borderId="1" xfId="1" applyFont="1" applyBorder="1"/>
    <xf numFmtId="0" fontId="4" fillId="4" borderId="1" xfId="1" applyFont="1" applyFill="1" applyBorder="1" applyAlignment="1">
      <alignment horizontal="center"/>
    </xf>
    <xf numFmtId="164" fontId="4" fillId="3" borderId="1" xfId="1" applyNumberFormat="1" applyFont="1" applyFill="1" applyBorder="1"/>
    <xf numFmtId="0" fontId="15" fillId="0" borderId="0" xfId="4"/>
    <xf numFmtId="0" fontId="4" fillId="0" borderId="0" xfId="4" applyFont="1"/>
    <xf numFmtId="1" fontId="16" fillId="0" borderId="0" xfId="4" applyNumberFormat="1" applyFont="1" applyAlignment="1">
      <alignment horizontal="center"/>
    </xf>
    <xf numFmtId="164" fontId="4" fillId="0" borderId="0" xfId="4" applyNumberFormat="1" applyFont="1"/>
    <xf numFmtId="164" fontId="4" fillId="0" borderId="0" xfId="4" applyNumberFormat="1" applyFont="1" applyAlignment="1">
      <alignment horizontal="center"/>
    </xf>
    <xf numFmtId="0" fontId="4" fillId="0" borderId="0" xfId="4" applyFont="1" applyAlignment="1">
      <alignment horizontal="center"/>
    </xf>
    <xf numFmtId="2" fontId="15" fillId="0" borderId="0" xfId="4" applyNumberFormat="1" applyAlignment="1">
      <alignment horizontal="center"/>
    </xf>
    <xf numFmtId="164" fontId="15" fillId="0" borderId="0" xfId="4" applyNumberFormat="1" applyAlignment="1">
      <alignment horizontal="center"/>
    </xf>
    <xf numFmtId="0" fontId="15" fillId="0" borderId="0" xfId="4" applyAlignment="1">
      <alignment horizontal="center"/>
    </xf>
    <xf numFmtId="164" fontId="2" fillId="0" borderId="0" xfId="4" applyNumberFormat="1" applyFont="1" applyAlignment="1">
      <alignment horizontal="center"/>
    </xf>
    <xf numFmtId="0" fontId="17" fillId="0" borderId="0" xfId="4" applyFont="1" applyAlignment="1">
      <alignment horizontal="center"/>
    </xf>
    <xf numFmtId="2" fontId="18" fillId="0" borderId="0" xfId="4" applyNumberFormat="1" applyFont="1" applyAlignment="1">
      <alignment horizontal="center"/>
    </xf>
    <xf numFmtId="0" fontId="19" fillId="0" borderId="0" xfId="4" applyFont="1" applyAlignment="1">
      <alignment horizontal="center"/>
    </xf>
    <xf numFmtId="0" fontId="18" fillId="0" borderId="0" xfId="4" applyFont="1" applyAlignment="1">
      <alignment horizontal="center"/>
    </xf>
    <xf numFmtId="164" fontId="20" fillId="0" borderId="0" xfId="4" applyNumberFormat="1" applyFont="1" applyAlignment="1">
      <alignment horizontal="center"/>
    </xf>
    <xf numFmtId="2" fontId="20" fillId="0" borderId="0" xfId="4" applyNumberFormat="1" applyFont="1" applyAlignment="1">
      <alignment horizontal="center"/>
    </xf>
    <xf numFmtId="1" fontId="20" fillId="0" borderId="0" xfId="4" applyNumberFormat="1" applyFont="1" applyAlignment="1">
      <alignment horizontal="center"/>
    </xf>
    <xf numFmtId="0" fontId="4" fillId="0" borderId="0" xfId="0" applyFont="1"/>
    <xf numFmtId="164" fontId="15" fillId="0" borderId="1" xfId="4" applyNumberFormat="1" applyBorder="1" applyAlignment="1">
      <alignment horizontal="center"/>
    </xf>
    <xf numFmtId="0" fontId="15" fillId="0" borderId="1" xfId="4" applyBorder="1" applyAlignment="1">
      <alignment horizontal="center"/>
    </xf>
    <xf numFmtId="0" fontId="4" fillId="0" borderId="1" xfId="4" applyFont="1" applyBorder="1" applyAlignment="1">
      <alignment horizontal="center"/>
    </xf>
    <xf numFmtId="164" fontId="4" fillId="0" borderId="1" xfId="4" applyNumberFormat="1" applyFont="1" applyBorder="1" applyAlignment="1">
      <alignment horizontal="center"/>
    </xf>
    <xf numFmtId="164" fontId="2" fillId="7" borderId="1" xfId="3" applyNumberFormat="1" applyFill="1" applyBorder="1" applyAlignment="1">
      <alignment horizontal="center"/>
    </xf>
    <xf numFmtId="165" fontId="4" fillId="0" borderId="1" xfId="4" applyNumberFormat="1" applyFont="1" applyBorder="1" applyAlignment="1">
      <alignment horizontal="center"/>
    </xf>
    <xf numFmtId="0" fontId="4" fillId="8" borderId="1" xfId="4" applyFont="1" applyFill="1" applyBorder="1" applyAlignment="1">
      <alignment horizontal="center"/>
    </xf>
    <xf numFmtId="164" fontId="2" fillId="0" borderId="1" xfId="5" applyNumberFormat="1" applyFill="1" applyBorder="1"/>
    <xf numFmtId="164" fontId="2" fillId="0" borderId="1" xfId="5" applyNumberFormat="1" applyFill="1" applyBorder="1" applyAlignment="1">
      <alignment horizontal="center"/>
    </xf>
    <xf numFmtId="0" fontId="2" fillId="0" borderId="1" xfId="5" applyFill="1" applyBorder="1"/>
    <xf numFmtId="164" fontId="15" fillId="0" borderId="1" xfId="4" applyNumberFormat="1" applyFill="1" applyBorder="1"/>
    <xf numFmtId="0" fontId="0" fillId="0" borderId="1" xfId="0" applyFill="1" applyBorder="1"/>
    <xf numFmtId="0" fontId="15" fillId="0" borderId="1" xfId="4" applyFill="1" applyBorder="1"/>
    <xf numFmtId="0" fontId="4" fillId="0" borderId="1" xfId="0" applyFont="1" applyFill="1" applyBorder="1"/>
    <xf numFmtId="0" fontId="4" fillId="8" borderId="1" xfId="4" applyFont="1" applyFill="1" applyBorder="1"/>
    <xf numFmtId="164" fontId="21" fillId="8" borderId="1" xfId="5" applyNumberFormat="1" applyFont="1" applyFill="1" applyBorder="1" applyAlignment="1">
      <alignment horizontal="center"/>
    </xf>
    <xf numFmtId="164" fontId="2" fillId="8" borderId="1" xfId="5" applyNumberFormat="1" applyFill="1" applyBorder="1"/>
    <xf numFmtId="0" fontId="2" fillId="8" borderId="1" xfId="5" applyFill="1" applyBorder="1"/>
    <xf numFmtId="0" fontId="4" fillId="8" borderId="1" xfId="5" applyFont="1" applyFill="1" applyBorder="1"/>
    <xf numFmtId="164" fontId="4" fillId="8" borderId="1" xfId="4" applyNumberFormat="1" applyFont="1" applyFill="1" applyBorder="1" applyAlignment="1">
      <alignment horizontal="center"/>
    </xf>
    <xf numFmtId="0" fontId="5" fillId="8" borderId="1" xfId="5" applyFont="1" applyFill="1" applyBorder="1" applyAlignment="1">
      <alignment horizontal="center"/>
    </xf>
    <xf numFmtId="0" fontId="7" fillId="8" borderId="1" xfId="5" applyFont="1" applyFill="1" applyBorder="1" applyAlignment="1">
      <alignment horizontal="center"/>
    </xf>
    <xf numFmtId="0" fontId="4" fillId="8" borderId="1" xfId="4" applyFont="1" applyFill="1" applyBorder="1" applyAlignment="1">
      <alignment horizontal="left"/>
    </xf>
    <xf numFmtId="164" fontId="4" fillId="8" borderId="1" xfId="4" applyNumberFormat="1" applyFont="1" applyFill="1" applyBorder="1"/>
    <xf numFmtId="0" fontId="15" fillId="8" borderId="1" xfId="4" applyFill="1" applyBorder="1"/>
    <xf numFmtId="0" fontId="4" fillId="8" borderId="1" xfId="5" applyFont="1" applyFill="1" applyBorder="1" applyAlignment="1">
      <alignment horizontal="center"/>
    </xf>
    <xf numFmtId="164" fontId="15" fillId="8" borderId="1" xfId="4" applyNumberFormat="1" applyFill="1" applyBorder="1" applyAlignment="1">
      <alignment horizontal="center"/>
    </xf>
    <xf numFmtId="0" fontId="15" fillId="8" borderId="1" xfId="4" applyFill="1" applyBorder="1" applyAlignment="1">
      <alignment horizontal="center"/>
    </xf>
    <xf numFmtId="0" fontId="4" fillId="5" borderId="1" xfId="3" applyFont="1" applyFill="1" applyBorder="1"/>
    <xf numFmtId="0" fontId="2" fillId="5" borderId="1" xfId="3" applyFill="1" applyBorder="1"/>
    <xf numFmtId="0" fontId="4" fillId="5" borderId="0" xfId="3" applyFont="1" applyFill="1"/>
    <xf numFmtId="0" fontId="2" fillId="5" borderId="0" xfId="3" applyFill="1"/>
    <xf numFmtId="0" fontId="4" fillId="9" borderId="1" xfId="3" applyFont="1" applyFill="1" applyBorder="1"/>
    <xf numFmtId="0" fontId="2" fillId="9" borderId="1" xfId="3" applyFill="1" applyBorder="1"/>
    <xf numFmtId="0" fontId="4" fillId="9" borderId="0" xfId="3" applyFont="1" applyFill="1"/>
    <xf numFmtId="0" fontId="2" fillId="9" borderId="0" xfId="3" applyFill="1"/>
    <xf numFmtId="164" fontId="2" fillId="5" borderId="1" xfId="3" applyNumberFormat="1" applyFill="1" applyBorder="1"/>
    <xf numFmtId="167" fontId="2" fillId="5" borderId="1" xfId="3" applyNumberFormat="1" applyFill="1" applyBorder="1"/>
    <xf numFmtId="164" fontId="2" fillId="9" borderId="1" xfId="3" applyNumberFormat="1" applyFill="1" applyBorder="1"/>
    <xf numFmtId="167" fontId="2" fillId="9" borderId="1" xfId="3" applyNumberFormat="1" applyFill="1" applyBorder="1"/>
    <xf numFmtId="164" fontId="4" fillId="5" borderId="1" xfId="3" applyNumberFormat="1" applyFont="1" applyFill="1" applyBorder="1"/>
    <xf numFmtId="1" fontId="4" fillId="9" borderId="1" xfId="3" applyNumberFormat="1" applyFont="1" applyFill="1" applyBorder="1"/>
    <xf numFmtId="164" fontId="4" fillId="9" borderId="1" xfId="3" applyNumberFormat="1" applyFont="1" applyFill="1" applyBorder="1"/>
    <xf numFmtId="165" fontId="4" fillId="9" borderId="1" xfId="3" applyNumberFormat="1" applyFont="1" applyFill="1" applyBorder="1"/>
    <xf numFmtId="0" fontId="10" fillId="5" borderId="1" xfId="3" applyFont="1" applyFill="1" applyBorder="1" applyAlignment="1">
      <alignment horizontal="center"/>
    </xf>
    <xf numFmtId="0" fontId="10" fillId="9" borderId="1" xfId="3" applyFont="1" applyFill="1" applyBorder="1" applyAlignment="1">
      <alignment horizontal="center"/>
    </xf>
    <xf numFmtId="165" fontId="2" fillId="9" borderId="1" xfId="3" applyNumberFormat="1" applyFill="1" applyBorder="1"/>
    <xf numFmtId="0" fontId="5" fillId="5" borderId="1" xfId="3" applyFont="1" applyFill="1" applyBorder="1" applyAlignment="1">
      <alignment horizontal="center"/>
    </xf>
    <xf numFmtId="0" fontId="4" fillId="5" borderId="1" xfId="3" applyFont="1" applyFill="1" applyBorder="1" applyAlignment="1">
      <alignment horizontal="center"/>
    </xf>
    <xf numFmtId="0" fontId="4" fillId="5" borderId="2" xfId="3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7" fillId="5" borderId="2" xfId="3" applyFont="1" applyFill="1" applyBorder="1" applyAlignment="1">
      <alignment horizontal="center"/>
    </xf>
    <xf numFmtId="0" fontId="10" fillId="5" borderId="2" xfId="3" applyFont="1" applyFill="1" applyBorder="1" applyAlignment="1">
      <alignment horizontal="center"/>
    </xf>
    <xf numFmtId="0" fontId="10" fillId="9" borderId="2" xfId="3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/>
    </xf>
    <xf numFmtId="0" fontId="4" fillId="5" borderId="1" xfId="1" applyFont="1" applyFill="1" applyBorder="1"/>
    <xf numFmtId="0" fontId="10" fillId="5" borderId="2" xfId="1" applyFont="1" applyFill="1" applyBorder="1" applyAlignment="1">
      <alignment horizontal="center"/>
    </xf>
    <xf numFmtId="0" fontId="7" fillId="5" borderId="1" xfId="1" applyFont="1" applyFill="1" applyBorder="1" applyAlignment="1">
      <alignment horizontal="center"/>
    </xf>
    <xf numFmtId="0" fontId="7" fillId="5" borderId="1" xfId="3" applyFont="1" applyFill="1" applyBorder="1" applyAlignment="1">
      <alignment horizontal="center"/>
    </xf>
    <xf numFmtId="0" fontId="8" fillId="5" borderId="1" xfId="3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/>
    </xf>
  </cellXfs>
  <cellStyles count="6">
    <cellStyle name="Normal" xfId="0" builtinId="0"/>
    <cellStyle name="Normal 2" xfId="3" xr:uid="{7E70889E-E902-44E1-8107-091FFFFF5CF1}"/>
    <cellStyle name="Normal 5" xfId="1" xr:uid="{D22AD06D-D3DA-4EAA-B0E1-A958F7C3AD44}"/>
    <cellStyle name="Normal 6" xfId="5" xr:uid="{3D0FE6AD-A421-4A91-B954-399931E154E0}"/>
    <cellStyle name="Normal 7" xfId="2" xr:uid="{F8E4EF4E-CD7B-4DF4-B3E3-732F70F6CDBA}"/>
    <cellStyle name="Normal 8" xfId="4" xr:uid="{319DAE03-1F23-4A81-8103-E97553578248}"/>
  </cellStyles>
  <dxfs count="0"/>
  <tableStyles count="0" defaultTableStyle="TableStyleMedium2" defaultPivotStyle="PivotStyleLight16"/>
  <colors>
    <mruColors>
      <color rgb="FF00FF00"/>
      <color rgb="FF49D7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627854479964383"/>
          <c:y val="4.2407287668704018E-2"/>
          <c:w val="0.75142912297654818"/>
          <c:h val="0.76863115663909853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Fig4_34N!$D$39</c:f>
              <c:strCache>
                <c:ptCount val="1"/>
                <c:pt idx="0">
                  <c:v>tADFRET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0070C0"/>
              </a:solidFill>
              <a:ln>
                <a:solidFill>
                  <a:srgbClr val="00B0F0"/>
                </a:solidFill>
                <a:prstDash val="solid"/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7.7159684818856822E-2"/>
                  <c:y val="-0.4878537511287479"/>
                </c:manualLayout>
              </c:layout>
              <c:numFmt formatCode="#,##0.000" sourceLinked="0"/>
              <c:txPr>
                <a:bodyPr/>
                <a:lstStyle/>
                <a:p>
                  <a:pPr>
                    <a:defRPr sz="800"/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Fig4_34N!$E$40:$E$59</c:f>
                <c:numCache>
                  <c:formatCode>General</c:formatCode>
                  <c:ptCount val="20"/>
                  <c:pt idx="0">
                    <c:v>3.2472167694809047E-2</c:v>
                  </c:pt>
                  <c:pt idx="1">
                    <c:v>6.0000000000000001E-3</c:v>
                  </c:pt>
                  <c:pt idx="2">
                    <c:v>6.0000000000000001E-3</c:v>
                  </c:pt>
                  <c:pt idx="3">
                    <c:v>2.1202823318294097E-3</c:v>
                  </c:pt>
                  <c:pt idx="4">
                    <c:v>1.2671110514341664E-3</c:v>
                  </c:pt>
                  <c:pt idx="5">
                    <c:v>2.3191940185834431E-3</c:v>
                  </c:pt>
                  <c:pt idx="6">
                    <c:v>1.0105160983378898E-2</c:v>
                  </c:pt>
                  <c:pt idx="7">
                    <c:v>2.1202823318290059E-3</c:v>
                  </c:pt>
                  <c:pt idx="8">
                    <c:v>6.8470910733441316E-3</c:v>
                  </c:pt>
                  <c:pt idx="9">
                    <c:v>1.2671110514342787E-3</c:v>
                  </c:pt>
                  <c:pt idx="10">
                    <c:v>2.0234140857718378E-3</c:v>
                  </c:pt>
                  <c:pt idx="11">
                    <c:v>4.2688668554039192E-3</c:v>
                  </c:pt>
                  <c:pt idx="12">
                    <c:v>3.1037755234551985E-3</c:v>
                  </c:pt>
                  <c:pt idx="13">
                    <c:v>4.2688668554042028E-3</c:v>
                  </c:pt>
                  <c:pt idx="14">
                    <c:v>3.6724367251183749E-3</c:v>
                  </c:pt>
                  <c:pt idx="15">
                    <c:v>3.7050812491091264E-3</c:v>
                  </c:pt>
                  <c:pt idx="16">
                    <c:v>2.3191940185834101E-3</c:v>
                  </c:pt>
                  <c:pt idx="17">
                    <c:v>3.0516075135353601E-3</c:v>
                  </c:pt>
                  <c:pt idx="18">
                    <c:v>2.8894577634337696E-3</c:v>
                  </c:pt>
                  <c:pt idx="19">
                    <c:v>3.0000000000000001E-3</c:v>
                  </c:pt>
                </c:numCache>
              </c:numRef>
            </c:plus>
            <c:minus>
              <c:numRef>
                <c:f>Fig4_34N!$E$40:$E$59</c:f>
                <c:numCache>
                  <c:formatCode>General</c:formatCode>
                  <c:ptCount val="20"/>
                  <c:pt idx="0">
                    <c:v>3.2472167694809047E-2</c:v>
                  </c:pt>
                  <c:pt idx="1">
                    <c:v>6.0000000000000001E-3</c:v>
                  </c:pt>
                  <c:pt idx="2">
                    <c:v>6.0000000000000001E-3</c:v>
                  </c:pt>
                  <c:pt idx="3">
                    <c:v>2.1202823318294097E-3</c:v>
                  </c:pt>
                  <c:pt idx="4">
                    <c:v>1.2671110514341664E-3</c:v>
                  </c:pt>
                  <c:pt idx="5">
                    <c:v>2.3191940185834431E-3</c:v>
                  </c:pt>
                  <c:pt idx="6">
                    <c:v>1.0105160983378898E-2</c:v>
                  </c:pt>
                  <c:pt idx="7">
                    <c:v>2.1202823318290059E-3</c:v>
                  </c:pt>
                  <c:pt idx="8">
                    <c:v>6.8470910733441316E-3</c:v>
                  </c:pt>
                  <c:pt idx="9">
                    <c:v>1.2671110514342787E-3</c:v>
                  </c:pt>
                  <c:pt idx="10">
                    <c:v>2.0234140857718378E-3</c:v>
                  </c:pt>
                  <c:pt idx="11">
                    <c:v>4.2688668554039192E-3</c:v>
                  </c:pt>
                  <c:pt idx="12">
                    <c:v>3.1037755234551985E-3</c:v>
                  </c:pt>
                  <c:pt idx="13">
                    <c:v>4.2688668554042028E-3</c:v>
                  </c:pt>
                  <c:pt idx="14">
                    <c:v>3.6724367251183749E-3</c:v>
                  </c:pt>
                  <c:pt idx="15">
                    <c:v>3.7050812491091264E-3</c:v>
                  </c:pt>
                  <c:pt idx="16">
                    <c:v>2.3191940185834101E-3</c:v>
                  </c:pt>
                  <c:pt idx="17">
                    <c:v>3.0516075135353601E-3</c:v>
                  </c:pt>
                  <c:pt idx="18">
                    <c:v>2.8894577634337696E-3</c:v>
                  </c:pt>
                  <c:pt idx="19">
                    <c:v>3.0000000000000001E-3</c:v>
                  </c:pt>
                </c:numCache>
              </c:numRef>
            </c:minus>
          </c:errBars>
          <c:xVal>
            <c:numRef>
              <c:f>Fig4_34N!$C$40:$C$59</c:f>
              <c:numCache>
                <c:formatCode>0.000</c:formatCode>
                <c:ptCount val="20"/>
                <c:pt idx="0">
                  <c:v>0</c:v>
                </c:pt>
                <c:pt idx="1">
                  <c:v>0.2</c:v>
                </c:pt>
                <c:pt idx="2">
                  <c:v>0.33333333333333331</c:v>
                </c:pt>
                <c:pt idx="3">
                  <c:v>0.42857142857142855</c:v>
                </c:pt>
                <c:pt idx="4">
                  <c:v>0.46666666666666667</c:v>
                </c:pt>
                <c:pt idx="5">
                  <c:v>0.5</c:v>
                </c:pt>
                <c:pt idx="6">
                  <c:v>0.55555555555555558</c:v>
                </c:pt>
                <c:pt idx="7">
                  <c:v>0.6</c:v>
                </c:pt>
                <c:pt idx="8">
                  <c:v>0.63636363636363635</c:v>
                </c:pt>
                <c:pt idx="9">
                  <c:v>0.66666666666666663</c:v>
                </c:pt>
                <c:pt idx="10">
                  <c:v>0.8</c:v>
                </c:pt>
                <c:pt idx="11">
                  <c:v>0.8381877022653722</c:v>
                </c:pt>
                <c:pt idx="12">
                  <c:v>0.875</c:v>
                </c:pt>
                <c:pt idx="13">
                  <c:v>0.90909090909090906</c:v>
                </c:pt>
                <c:pt idx="14">
                  <c:v>0.92307692307692313</c:v>
                </c:pt>
                <c:pt idx="15">
                  <c:v>0.9375</c:v>
                </c:pt>
                <c:pt idx="16">
                  <c:v>0.95238095238095233</c:v>
                </c:pt>
                <c:pt idx="17">
                  <c:v>0.967741935483871</c:v>
                </c:pt>
                <c:pt idx="18">
                  <c:v>0.97560975609756095</c:v>
                </c:pt>
                <c:pt idx="19">
                  <c:v>0.99009900990099009</c:v>
                </c:pt>
              </c:numCache>
            </c:numRef>
          </c:xVal>
          <c:yVal>
            <c:numRef>
              <c:f>Fig4_34N!$D$40:$D$59</c:f>
              <c:numCache>
                <c:formatCode>0.000</c:formatCode>
                <c:ptCount val="20"/>
                <c:pt idx="0">
                  <c:v>4.9148761111111101</c:v>
                </c:pt>
                <c:pt idx="1">
                  <c:v>4.8860000000000001</c:v>
                </c:pt>
                <c:pt idx="2">
                  <c:v>4.8159999999999998</c:v>
                </c:pt>
                <c:pt idx="3">
                  <c:v>4.78</c:v>
                </c:pt>
                <c:pt idx="4">
                  <c:v>4.7725</c:v>
                </c:pt>
                <c:pt idx="5">
                  <c:v>4.75875</c:v>
                </c:pt>
                <c:pt idx="6">
                  <c:v>4.7219999999999995</c:v>
                </c:pt>
                <c:pt idx="7">
                  <c:v>4.7030000000000003</c:v>
                </c:pt>
                <c:pt idx="8">
                  <c:v>4.6909999999999998</c:v>
                </c:pt>
                <c:pt idx="9">
                  <c:v>4.6894999999999998</c:v>
                </c:pt>
                <c:pt idx="10">
                  <c:v>4.6387499999999999</c:v>
                </c:pt>
                <c:pt idx="11">
                  <c:v>4.6182499999999997</c:v>
                </c:pt>
                <c:pt idx="12">
                  <c:v>4.6050000000000004</c:v>
                </c:pt>
                <c:pt idx="13">
                  <c:v>4.5962500000000004</c:v>
                </c:pt>
                <c:pt idx="14">
                  <c:v>4.5869999999999997</c:v>
                </c:pt>
                <c:pt idx="15">
                  <c:v>4.57925</c:v>
                </c:pt>
                <c:pt idx="16">
                  <c:v>4.5772499999999994</c:v>
                </c:pt>
                <c:pt idx="17">
                  <c:v>4.5715000000000003</c:v>
                </c:pt>
                <c:pt idx="18">
                  <c:v>4.5709999999999997</c:v>
                </c:pt>
                <c:pt idx="19">
                  <c:v>4.5557142857142852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C8-43F2-94C3-C1A5F9499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57088"/>
        <c:axId val="80475648"/>
      </c:scatterChart>
      <c:valAx>
        <c:axId val="80457088"/>
        <c:scaling>
          <c:orientation val="minMax"/>
          <c:max val="1.02"/>
          <c:min val="0"/>
        </c:scaling>
        <c:delete val="0"/>
        <c:axPos val="b"/>
        <c:majorGridlines>
          <c:spPr>
            <a:ln>
              <a:solidFill>
                <a:schemeClr val="bg2"/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 sz="800" b="1" i="0" baseline="0">
                    <a:effectLst/>
                  </a:rPr>
                  <a:t>f / (f + 1) </a:t>
                </a:r>
                <a:endParaRPr lang="en-US" sz="800" b="1">
                  <a:effectLst/>
                </a:endParaRPr>
              </a:p>
            </c:rich>
          </c:tx>
          <c:layout>
            <c:manualLayout>
              <c:xMode val="edge"/>
              <c:yMode val="edge"/>
              <c:x val="0.46067714612141986"/>
              <c:y val="0.9100047947738251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80475648"/>
        <c:crosses val="autoZero"/>
        <c:crossBetween val="midCat"/>
      </c:valAx>
      <c:valAx>
        <c:axId val="80475648"/>
        <c:scaling>
          <c:orientation val="minMax"/>
          <c:max val="5"/>
          <c:min val="4.5"/>
        </c:scaling>
        <c:delete val="0"/>
        <c:axPos val="l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r>
                  <a:rPr lang="en-US" sz="800" b="0" i="0" baseline="0">
                    <a:solidFill>
                      <a:sysClr val="windowText" lastClr="000000"/>
                    </a:solidFill>
                    <a:effectLst/>
                    <a:sym typeface="Symbol" panose="05050102010706020507" pitchFamily="18" charset="2"/>
                  </a:rPr>
                  <a:t></a:t>
                </a:r>
                <a:r>
                  <a:rPr lang="en-US" sz="800" b="0" i="0" baseline="0">
                    <a:solidFill>
                      <a:sysClr val="windowText" lastClr="000000"/>
                    </a:solidFill>
                    <a:effectLst/>
                  </a:rPr>
                  <a:t> ADFRET (ns)</a:t>
                </a:r>
                <a:endParaRPr lang="en-US" sz="8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8.7168438116870164E-3"/>
              <c:y val="0.2377922973565801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n-US"/>
          </a:p>
        </c:txPr>
        <c:crossAx val="80457088"/>
        <c:crosses val="autoZero"/>
        <c:crossBetween val="midCat"/>
        <c:majorUnit val="0.1"/>
        <c:minorUnit val="2.0000000000000004E-2"/>
      </c:valAx>
      <c:spPr>
        <a:noFill/>
        <a:ln w="9525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 w="3175">
      <a:noFill/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04412602557699"/>
          <c:y val="4.1204188973351902E-2"/>
          <c:w val="0.77979702189073019"/>
          <c:h val="0.78055278440165832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Fig4_34N!$T$17</c:f>
              <c:strCache>
                <c:ptCount val="1"/>
                <c:pt idx="0">
                  <c:v>distance</c:v>
                </c:pt>
              </c:strCache>
            </c:strRef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00B0F0"/>
              </a:solidFill>
              <a:ln w="12700">
                <a:solidFill>
                  <a:srgbClr val="00B0F0"/>
                </a:solidFill>
              </a:ln>
              <a:effectLst/>
            </c:spPr>
          </c:marker>
          <c:dPt>
            <c:idx val="19"/>
            <c:marker>
              <c:symbol val="circle"/>
              <c:size val="3"/>
              <c:spPr>
                <a:solidFill>
                  <a:srgbClr val="00B0F0"/>
                </a:solidFill>
                <a:ln w="9525">
                  <a:solidFill>
                    <a:srgbClr val="00B0F0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ysClr val="windowText" lastClr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D21-466B-9077-163E3F25E09F}"/>
              </c:ext>
            </c:extLst>
          </c:dPt>
          <c:errBars>
            <c:errDir val="x"/>
            <c:errBarType val="both"/>
            <c:errValType val="cust"/>
            <c:noEndCap val="0"/>
            <c:plus>
              <c:numRef>
                <c:f>Fig4_34N!$I$18:$I$37</c:f>
                <c:numCache>
                  <c:formatCode>General</c:formatCode>
                  <c:ptCount val="20"/>
                  <c:pt idx="0">
                    <c:v>2.4867609999671043E-4</c:v>
                  </c:pt>
                  <c:pt idx="1">
                    <c:v>2.0653275686511024E-4</c:v>
                  </c:pt>
                  <c:pt idx="2">
                    <c:v>2.0657691207253871E-4</c:v>
                  </c:pt>
                  <c:pt idx="3">
                    <c:v>2.0522153452223028E-4</c:v>
                  </c:pt>
                  <c:pt idx="4">
                    <c:v>2.0509526850508709E-4</c:v>
                  </c:pt>
                  <c:pt idx="5">
                    <c:v>2.0526229043310232E-4</c:v>
                  </c:pt>
                  <c:pt idx="6">
                    <c:v>2.0960445028966488E-4</c:v>
                  </c:pt>
                  <c:pt idx="7">
                    <c:v>2.0522803010489108E-4</c:v>
                  </c:pt>
                  <c:pt idx="8">
                    <c:v>2.0715527592736675E-4</c:v>
                  </c:pt>
                  <c:pt idx="9">
                    <c:v>2.0509778586573591E-4</c:v>
                  </c:pt>
                  <c:pt idx="10">
                    <c:v>2.052150456969331E-4</c:v>
                  </c:pt>
                  <c:pt idx="11">
                    <c:v>2.0587919479226274E-4</c:v>
                  </c:pt>
                  <c:pt idx="12">
                    <c:v>2.0547905450324936E-4</c:v>
                  </c:pt>
                  <c:pt idx="13">
                    <c:v>2.0588739372853242E-4</c:v>
                  </c:pt>
                  <c:pt idx="14">
                    <c:v>2.0566576675220866E-4</c:v>
                  </c:pt>
                  <c:pt idx="15">
                    <c:v>2.0567942325635258E-4</c:v>
                  </c:pt>
                  <c:pt idx="16">
                    <c:v>2.0528149995653367E-4</c:v>
                  </c:pt>
                  <c:pt idx="17">
                    <c:v>2.0547037146967267E-4</c:v>
                  </c:pt>
                  <c:pt idx="18">
                    <c:v>2.0542436288158966E-4</c:v>
                  </c:pt>
                  <c:pt idx="19">
                    <c:v>2.0545841710130141E-4</c:v>
                  </c:pt>
                </c:numCache>
              </c:numRef>
            </c:plus>
            <c:minus>
              <c:numRef>
                <c:f>Fig4_34N!$I$18:$I$37</c:f>
                <c:numCache>
                  <c:formatCode>General</c:formatCode>
                  <c:ptCount val="20"/>
                  <c:pt idx="0">
                    <c:v>2.4867609999671043E-4</c:v>
                  </c:pt>
                  <c:pt idx="1">
                    <c:v>2.0653275686511024E-4</c:v>
                  </c:pt>
                  <c:pt idx="2">
                    <c:v>2.0657691207253871E-4</c:v>
                  </c:pt>
                  <c:pt idx="3">
                    <c:v>2.0522153452223028E-4</c:v>
                  </c:pt>
                  <c:pt idx="4">
                    <c:v>2.0509526850508709E-4</c:v>
                  </c:pt>
                  <c:pt idx="5">
                    <c:v>2.0526229043310232E-4</c:v>
                  </c:pt>
                  <c:pt idx="6">
                    <c:v>2.0960445028966488E-4</c:v>
                  </c:pt>
                  <c:pt idx="7">
                    <c:v>2.0522803010489108E-4</c:v>
                  </c:pt>
                  <c:pt idx="8">
                    <c:v>2.0715527592736675E-4</c:v>
                  </c:pt>
                  <c:pt idx="9">
                    <c:v>2.0509778586573591E-4</c:v>
                  </c:pt>
                  <c:pt idx="10">
                    <c:v>2.052150456969331E-4</c:v>
                  </c:pt>
                  <c:pt idx="11">
                    <c:v>2.0587919479226274E-4</c:v>
                  </c:pt>
                  <c:pt idx="12">
                    <c:v>2.0547905450324936E-4</c:v>
                  </c:pt>
                  <c:pt idx="13">
                    <c:v>2.0588739372853242E-4</c:v>
                  </c:pt>
                  <c:pt idx="14">
                    <c:v>2.0566576675220866E-4</c:v>
                  </c:pt>
                  <c:pt idx="15">
                    <c:v>2.0567942325635258E-4</c:v>
                  </c:pt>
                  <c:pt idx="16">
                    <c:v>2.0528149995653367E-4</c:v>
                  </c:pt>
                  <c:pt idx="17">
                    <c:v>2.0547037146967267E-4</c:v>
                  </c:pt>
                  <c:pt idx="18">
                    <c:v>2.0542436288158966E-4</c:v>
                  </c:pt>
                  <c:pt idx="19">
                    <c:v>2.0545841710130141E-4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Fig4_34N!$U$18:$U$37</c:f>
                <c:numCache>
                  <c:formatCode>General</c:formatCode>
                  <c:ptCount val="20"/>
                  <c:pt idx="0">
                    <c:v>3.3614570852672756</c:v>
                  </c:pt>
                  <c:pt idx="1">
                    <c:v>3.4083936554071057</c:v>
                  </c:pt>
                  <c:pt idx="2">
                    <c:v>3.5452006966025227</c:v>
                  </c:pt>
                  <c:pt idx="3">
                    <c:v>3.6333153969430709</c:v>
                  </c:pt>
                  <c:pt idx="4">
                    <c:v>3.6537330045680649</c:v>
                  </c:pt>
                  <c:pt idx="5">
                    <c:v>3.6933710171790044</c:v>
                  </c:pt>
                  <c:pt idx="6">
                    <c:v>3.816611101474026</c:v>
                  </c:pt>
                  <c:pt idx="7">
                    <c:v>3.8933150597849457</c:v>
                  </c:pt>
                  <c:pt idx="8">
                    <c:v>3.9478616512641036</c:v>
                  </c:pt>
                  <c:pt idx="9">
                    <c:v>3.9550680544206296</c:v>
                  </c:pt>
                  <c:pt idx="10">
                    <c:v>4.2742132809696143</c:v>
                  </c:pt>
                  <c:pt idx="11">
                    <c:v>4.4737958659705797</c:v>
                  </c:pt>
                  <c:pt idx="12">
                    <c:v>4.6467896829225079</c:v>
                  </c:pt>
                  <c:pt idx="13">
                    <c:v>4.7922161773813254</c:v>
                  </c:pt>
                  <c:pt idx="14">
                    <c:v>4.989196527059228</c:v>
                  </c:pt>
                  <c:pt idx="15">
                    <c:v>5.2102800588962985</c:v>
                  </c:pt>
                  <c:pt idx="16">
                    <c:v>5.2800197445441848</c:v>
                  </c:pt>
                  <c:pt idx="17">
                    <c:v>5.5256282652753201</c:v>
                  </c:pt>
                  <c:pt idx="18">
                    <c:v>5.5511527691067011</c:v>
                  </c:pt>
                  <c:pt idx="19">
                    <c:v>7.6778479922734411</c:v>
                  </c:pt>
                </c:numCache>
              </c:numRef>
            </c:plus>
            <c:minus>
              <c:numRef>
                <c:f>Fig4_34N!$U$18:$U$37</c:f>
                <c:numCache>
                  <c:formatCode>General</c:formatCode>
                  <c:ptCount val="20"/>
                  <c:pt idx="0">
                    <c:v>3.3614570852672756</c:v>
                  </c:pt>
                  <c:pt idx="1">
                    <c:v>3.4083936554071057</c:v>
                  </c:pt>
                  <c:pt idx="2">
                    <c:v>3.5452006966025227</c:v>
                  </c:pt>
                  <c:pt idx="3">
                    <c:v>3.6333153969430709</c:v>
                  </c:pt>
                  <c:pt idx="4">
                    <c:v>3.6537330045680649</c:v>
                  </c:pt>
                  <c:pt idx="5">
                    <c:v>3.6933710171790044</c:v>
                  </c:pt>
                  <c:pt idx="6">
                    <c:v>3.816611101474026</c:v>
                  </c:pt>
                  <c:pt idx="7">
                    <c:v>3.8933150597849457</c:v>
                  </c:pt>
                  <c:pt idx="8">
                    <c:v>3.9478616512641036</c:v>
                  </c:pt>
                  <c:pt idx="9">
                    <c:v>3.9550680544206296</c:v>
                  </c:pt>
                  <c:pt idx="10">
                    <c:v>4.2742132809696143</c:v>
                  </c:pt>
                  <c:pt idx="11">
                    <c:v>4.4737958659705797</c:v>
                  </c:pt>
                  <c:pt idx="12">
                    <c:v>4.6467896829225079</c:v>
                  </c:pt>
                  <c:pt idx="13">
                    <c:v>4.7922161773813254</c:v>
                  </c:pt>
                  <c:pt idx="14">
                    <c:v>4.989196527059228</c:v>
                  </c:pt>
                  <c:pt idx="15">
                    <c:v>5.2102800588962985</c:v>
                  </c:pt>
                  <c:pt idx="16">
                    <c:v>5.2800197445441848</c:v>
                  </c:pt>
                  <c:pt idx="17">
                    <c:v>5.5256282652753201</c:v>
                  </c:pt>
                  <c:pt idx="18">
                    <c:v>5.5511527691067011</c:v>
                  </c:pt>
                  <c:pt idx="19">
                    <c:v>7.6778479922734411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Fig4_34N!$H$18:$H$37</c:f>
              <c:numCache>
                <c:formatCode>0.0000</c:formatCode>
                <c:ptCount val="20"/>
                <c:pt idx="0">
                  <c:v>0.36170917111111045</c:v>
                </c:pt>
                <c:pt idx="1">
                  <c:v>0.33283306000000046</c:v>
                </c:pt>
                <c:pt idx="2">
                  <c:v>0.26283306000000017</c:v>
                </c:pt>
                <c:pt idx="3">
                  <c:v>0.22683306000000059</c:v>
                </c:pt>
                <c:pt idx="4">
                  <c:v>0.2193330600000003</c:v>
                </c:pt>
                <c:pt idx="5">
                  <c:v>0.20558306000000037</c:v>
                </c:pt>
                <c:pt idx="6">
                  <c:v>0.16883305999999987</c:v>
                </c:pt>
                <c:pt idx="7">
                  <c:v>0.14983306000000063</c:v>
                </c:pt>
                <c:pt idx="8">
                  <c:v>0.13783306000000017</c:v>
                </c:pt>
                <c:pt idx="9">
                  <c:v>0.13633306000000012</c:v>
                </c:pt>
                <c:pt idx="10">
                  <c:v>8.5583060000000266E-2</c:v>
                </c:pt>
                <c:pt idx="11">
                  <c:v>6.5083060000000081E-2</c:v>
                </c:pt>
                <c:pt idx="12">
                  <c:v>5.1833060000000764E-2</c:v>
                </c:pt>
                <c:pt idx="13">
                  <c:v>4.3083060000000728E-2</c:v>
                </c:pt>
                <c:pt idx="14">
                  <c:v>3.3833060000000081E-2</c:v>
                </c:pt>
                <c:pt idx="15">
                  <c:v>2.608306000000038E-2</c:v>
                </c:pt>
                <c:pt idx="16">
                  <c:v>2.4083059999999712E-2</c:v>
                </c:pt>
                <c:pt idx="17">
                  <c:v>1.8333060000000678E-2</c:v>
                </c:pt>
                <c:pt idx="18">
                  <c:v>1.7833060000000067E-2</c:v>
                </c:pt>
                <c:pt idx="19">
                  <c:v>2.5473457142854983E-3</c:v>
                </c:pt>
              </c:numCache>
            </c:numRef>
          </c:xVal>
          <c:yVal>
            <c:numRef>
              <c:f>Fig4_34N!$T$18:$T$37</c:f>
              <c:numCache>
                <c:formatCode>0.0</c:formatCode>
                <c:ptCount val="20"/>
                <c:pt idx="0">
                  <c:v>120.54797372327812</c:v>
                </c:pt>
                <c:pt idx="1">
                  <c:v>122.23120461998577</c:v>
                </c:pt>
                <c:pt idx="2">
                  <c:v>127.13735430116573</c:v>
                </c:pt>
                <c:pt idx="3">
                  <c:v>130.29730794979088</c:v>
                </c:pt>
                <c:pt idx="4">
                  <c:v>131.02952054838599</c:v>
                </c:pt>
                <c:pt idx="5">
                  <c:v>132.45101187832427</c:v>
                </c:pt>
                <c:pt idx="6">
                  <c:v>136.87062577384705</c:v>
                </c:pt>
                <c:pt idx="7">
                  <c:v>139.62136942946614</c:v>
                </c:pt>
                <c:pt idx="8">
                  <c:v>141.57750955249335</c:v>
                </c:pt>
                <c:pt idx="9">
                  <c:v>141.83594429561657</c:v>
                </c:pt>
                <c:pt idx="10">
                  <c:v>153.28107341910157</c:v>
                </c:pt>
                <c:pt idx="11">
                  <c:v>160.43846844216105</c:v>
                </c:pt>
                <c:pt idx="12">
                  <c:v>166.64234181350679</c:v>
                </c:pt>
                <c:pt idx="13">
                  <c:v>171.85760078840946</c:v>
                </c:pt>
                <c:pt idx="14">
                  <c:v>178.92167491300489</c:v>
                </c:pt>
                <c:pt idx="15">
                  <c:v>186.85013305199251</c:v>
                </c:pt>
                <c:pt idx="16">
                  <c:v>189.35112520500755</c:v>
                </c:pt>
                <c:pt idx="17">
                  <c:v>198.15909411619029</c:v>
                </c:pt>
                <c:pt idx="18">
                  <c:v>199.07444931458068</c:v>
                </c:pt>
                <c:pt idx="19">
                  <c:v>275.3416136354785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D21-466B-9077-163E3F25E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238336"/>
        <c:axId val="109016624"/>
      </c:scatterChart>
      <c:valAx>
        <c:axId val="114238336"/>
        <c:scaling>
          <c:orientation val="minMax"/>
          <c:max val="0.41000000000000003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800" b="1">
                    <a:solidFill>
                      <a:sysClr val="windowText" lastClr="000000"/>
                    </a:solidFill>
                    <a:sym typeface="Symbol" panose="05050102010706020507" pitchFamily="18" charset="2"/>
                  </a:rPr>
                  <a:t></a:t>
                </a:r>
                <a:r>
                  <a:rPr lang="en-US" sz="800" b="1" baseline="-25000">
                    <a:solidFill>
                      <a:sysClr val="windowText" lastClr="000000"/>
                    </a:solidFill>
                    <a:sym typeface="Symbol" panose="05050102010706020507" pitchFamily="18" charset="2"/>
                  </a:rPr>
                  <a:t>diff</a:t>
                </a:r>
                <a:endParaRPr lang="en-US" sz="800" b="1" baseline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50845207187631647"/>
              <c:y val="0.941415227908428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9016624"/>
        <c:crosses val="autoZero"/>
        <c:crossBetween val="midCat"/>
        <c:majorUnit val="0.1"/>
      </c:valAx>
      <c:valAx>
        <c:axId val="109016624"/>
        <c:scaling>
          <c:orientation val="minMax"/>
          <c:max val="300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</a:rPr>
                  <a:t>ADFRET Distance (</a:t>
                </a:r>
                <a:r>
                  <a:rPr lang="en-US" sz="8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Å</a:t>
                </a:r>
                <a:r>
                  <a:rPr lang="en-US" sz="800">
                    <a:solidFill>
                      <a:sysClr val="windowText" lastClr="000000"/>
                    </a:solidFill>
                  </a:rPr>
                  <a:t>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4238336"/>
        <c:crosses val="autoZero"/>
        <c:crossBetween val="midCat"/>
        <c:majorUnit val="30"/>
        <c:minorUnit val="10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09359030415184"/>
          <c:y val="2.3166322831333748E-2"/>
          <c:w val="0.74875435093429688"/>
          <c:h val="0.7893566346576860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Fig4_34N!$B$17</c:f>
              <c:strCache>
                <c:ptCount val="1"/>
                <c:pt idx="0">
                  <c:v>tADFRET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rgbClr val="00B0F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Fig4_34N!$C$18:$C$37</c:f>
                <c:numCache>
                  <c:formatCode>General</c:formatCode>
                  <c:ptCount val="20"/>
                  <c:pt idx="0">
                    <c:v>3.2472167694809047E-2</c:v>
                  </c:pt>
                  <c:pt idx="1">
                    <c:v>6.0000000000000001E-3</c:v>
                  </c:pt>
                  <c:pt idx="2">
                    <c:v>6.0000000000000001E-3</c:v>
                  </c:pt>
                  <c:pt idx="3">
                    <c:v>2.1202823318294097E-3</c:v>
                  </c:pt>
                  <c:pt idx="4">
                    <c:v>1.2671110514341664E-3</c:v>
                  </c:pt>
                  <c:pt idx="5">
                    <c:v>2.3191940185834431E-3</c:v>
                  </c:pt>
                  <c:pt idx="6">
                    <c:v>1.0105160983378898E-2</c:v>
                  </c:pt>
                  <c:pt idx="7">
                    <c:v>2.1202823318290059E-3</c:v>
                  </c:pt>
                  <c:pt idx="8">
                    <c:v>6.8470910733441316E-3</c:v>
                  </c:pt>
                  <c:pt idx="9">
                    <c:v>1.2671110514342787E-3</c:v>
                  </c:pt>
                  <c:pt idx="10">
                    <c:v>2.0234140857718378E-3</c:v>
                  </c:pt>
                  <c:pt idx="11">
                    <c:v>4.2688668554039201E-3</c:v>
                  </c:pt>
                  <c:pt idx="12">
                    <c:v>3.1037755234551985E-3</c:v>
                  </c:pt>
                  <c:pt idx="13">
                    <c:v>4.2688668554042028E-3</c:v>
                  </c:pt>
                  <c:pt idx="14">
                    <c:v>3.6724367251183749E-3</c:v>
                  </c:pt>
                  <c:pt idx="15">
                    <c:v>3.7050812491091264E-3</c:v>
                  </c:pt>
                  <c:pt idx="16">
                    <c:v>2.3191940185834101E-3</c:v>
                  </c:pt>
                  <c:pt idx="17">
                    <c:v>3.0516075135353601E-3</c:v>
                  </c:pt>
                  <c:pt idx="18">
                    <c:v>2.8894577634337696E-3</c:v>
                  </c:pt>
                  <c:pt idx="19">
                    <c:v>3.0000000000000001E-3</c:v>
                  </c:pt>
                </c:numCache>
              </c:numRef>
            </c:plus>
            <c:minus>
              <c:numRef>
                <c:f>Fig4_34N!$C$18:$C$37</c:f>
                <c:numCache>
                  <c:formatCode>General</c:formatCode>
                  <c:ptCount val="20"/>
                  <c:pt idx="0">
                    <c:v>3.2472167694809047E-2</c:v>
                  </c:pt>
                  <c:pt idx="1">
                    <c:v>6.0000000000000001E-3</c:v>
                  </c:pt>
                  <c:pt idx="2">
                    <c:v>6.0000000000000001E-3</c:v>
                  </c:pt>
                  <c:pt idx="3">
                    <c:v>2.1202823318294097E-3</c:v>
                  </c:pt>
                  <c:pt idx="4">
                    <c:v>1.2671110514341664E-3</c:v>
                  </c:pt>
                  <c:pt idx="5">
                    <c:v>2.3191940185834431E-3</c:v>
                  </c:pt>
                  <c:pt idx="6">
                    <c:v>1.0105160983378898E-2</c:v>
                  </c:pt>
                  <c:pt idx="7">
                    <c:v>2.1202823318290059E-3</c:v>
                  </c:pt>
                  <c:pt idx="8">
                    <c:v>6.8470910733441316E-3</c:v>
                  </c:pt>
                  <c:pt idx="9">
                    <c:v>1.2671110514342787E-3</c:v>
                  </c:pt>
                  <c:pt idx="10">
                    <c:v>2.0234140857718378E-3</c:v>
                  </c:pt>
                  <c:pt idx="11">
                    <c:v>4.2688668554039201E-3</c:v>
                  </c:pt>
                  <c:pt idx="12">
                    <c:v>3.1037755234551985E-3</c:v>
                  </c:pt>
                  <c:pt idx="13">
                    <c:v>4.2688668554042028E-3</c:v>
                  </c:pt>
                  <c:pt idx="14">
                    <c:v>3.6724367251183749E-3</c:v>
                  </c:pt>
                  <c:pt idx="15">
                    <c:v>3.7050812491091264E-3</c:v>
                  </c:pt>
                  <c:pt idx="16">
                    <c:v>2.3191940185834101E-3</c:v>
                  </c:pt>
                  <c:pt idx="17">
                    <c:v>3.0516075135353601E-3</c:v>
                  </c:pt>
                  <c:pt idx="18">
                    <c:v>2.8894577634337696E-3</c:v>
                  </c:pt>
                  <c:pt idx="19">
                    <c:v>3.0000000000000001E-3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Fig4_34N!$A$18:$A$37</c:f>
              <c:numCache>
                <c:formatCode>0.0</c:formatCode>
                <c:ptCount val="20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0.875</c:v>
                </c:pt>
                <c:pt idx="5">
                  <c:v>1</c:v>
                </c:pt>
                <c:pt idx="6">
                  <c:v>1.25</c:v>
                </c:pt>
                <c:pt idx="7">
                  <c:v>1.5</c:v>
                </c:pt>
                <c:pt idx="8">
                  <c:v>1.75</c:v>
                </c:pt>
                <c:pt idx="9">
                  <c:v>2</c:v>
                </c:pt>
                <c:pt idx="10">
                  <c:v>4</c:v>
                </c:pt>
                <c:pt idx="11">
                  <c:v>5.18</c:v>
                </c:pt>
                <c:pt idx="12">
                  <c:v>7</c:v>
                </c:pt>
                <c:pt idx="13">
                  <c:v>10</c:v>
                </c:pt>
                <c:pt idx="14">
                  <c:v>12</c:v>
                </c:pt>
                <c:pt idx="15">
                  <c:v>15</c:v>
                </c:pt>
                <c:pt idx="16">
                  <c:v>20</c:v>
                </c:pt>
                <c:pt idx="17">
                  <c:v>30</c:v>
                </c:pt>
                <c:pt idx="18">
                  <c:v>40</c:v>
                </c:pt>
                <c:pt idx="19">
                  <c:v>100</c:v>
                </c:pt>
              </c:numCache>
            </c:numRef>
          </c:xVal>
          <c:yVal>
            <c:numRef>
              <c:f>Fig4_34N!$B$18:$B$37</c:f>
              <c:numCache>
                <c:formatCode>0.000</c:formatCode>
                <c:ptCount val="20"/>
                <c:pt idx="0">
                  <c:v>4.9148761111111101</c:v>
                </c:pt>
                <c:pt idx="1">
                  <c:v>4.8860000000000001</c:v>
                </c:pt>
                <c:pt idx="2">
                  <c:v>4.8159999999999998</c:v>
                </c:pt>
                <c:pt idx="3">
                  <c:v>4.78</c:v>
                </c:pt>
                <c:pt idx="4">
                  <c:v>4.7725</c:v>
                </c:pt>
                <c:pt idx="5">
                  <c:v>4.75875</c:v>
                </c:pt>
                <c:pt idx="6">
                  <c:v>4.7219999999999995</c:v>
                </c:pt>
                <c:pt idx="7">
                  <c:v>4.7030000000000003</c:v>
                </c:pt>
                <c:pt idx="8">
                  <c:v>4.6909999999999998</c:v>
                </c:pt>
                <c:pt idx="9">
                  <c:v>4.6894999999999998</c:v>
                </c:pt>
                <c:pt idx="10">
                  <c:v>4.6387499999999999</c:v>
                </c:pt>
                <c:pt idx="11">
                  <c:v>4.6182499999999997</c:v>
                </c:pt>
                <c:pt idx="12">
                  <c:v>4.6050000000000004</c:v>
                </c:pt>
                <c:pt idx="13">
                  <c:v>4.5962500000000004</c:v>
                </c:pt>
                <c:pt idx="14">
                  <c:v>4.5869999999999997</c:v>
                </c:pt>
                <c:pt idx="15">
                  <c:v>4.57925</c:v>
                </c:pt>
                <c:pt idx="16">
                  <c:v>4.5772499999999994</c:v>
                </c:pt>
                <c:pt idx="17">
                  <c:v>4.5715000000000003</c:v>
                </c:pt>
                <c:pt idx="18">
                  <c:v>4.5709999999999997</c:v>
                </c:pt>
                <c:pt idx="19">
                  <c:v>4.5557142857142852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3CE-46DF-9FC1-F0FE5F378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716064"/>
        <c:axId val="506291520"/>
      </c:scatterChart>
      <c:valAx>
        <c:axId val="578716064"/>
        <c:scaling>
          <c:orientation val="minMax"/>
          <c:max val="103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800" b="1"/>
                  <a:t>f</a:t>
                </a:r>
                <a:r>
                  <a:rPr lang="en-US" sz="800" b="1" baseline="0"/>
                  <a:t> </a:t>
                </a:r>
                <a:endParaRPr lang="en-US" sz="8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in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06291520"/>
        <c:crosses val="autoZero"/>
        <c:crossBetween val="midCat"/>
        <c:minorUnit val="10"/>
      </c:valAx>
      <c:valAx>
        <c:axId val="506291520"/>
        <c:scaling>
          <c:orientation val="minMax"/>
          <c:max val="5.0199999999999996"/>
          <c:min val="4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800">
                    <a:sym typeface="Symbol" panose="05050102010706020507" pitchFamily="18" charset="2"/>
                  </a:rPr>
                  <a:t></a:t>
                </a:r>
                <a:r>
                  <a:rPr lang="en-US" sz="800"/>
                  <a:t> ADFRET (ns)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0" sourceLinked="1"/>
        <c:majorTickMark val="out"/>
        <c:minorTickMark val="in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78716064"/>
        <c:crossesAt val="-20"/>
        <c:crossBetween val="midCat"/>
        <c:majorUnit val="0.1"/>
        <c:minorUnit val="5.000000000000001E-2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9744859631062"/>
          <c:y val="4.1416056661685935E-2"/>
          <c:w val="0.77866633836262533"/>
          <c:h val="0.760010914459051"/>
        </c:manualLayout>
      </c:layout>
      <c:scatterChart>
        <c:scatterStyle val="lineMarker"/>
        <c:varyColors val="0"/>
        <c:ser>
          <c:idx val="1"/>
          <c:order val="0"/>
          <c:tx>
            <c:strRef>
              <c:f>Fig4_34N!$F$39</c:f>
              <c:strCache>
                <c:ptCount val="1"/>
                <c:pt idx="0">
                  <c:v>tADFRET(1+f)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rgbClr val="00B0F0"/>
                </a:solidFill>
              </a:ln>
              <a:effectLst/>
            </c:spPr>
          </c:marker>
          <c:trendline>
            <c:spPr>
              <a:ln w="9525" cap="rnd">
                <a:solidFill>
                  <a:sysClr val="windowText" lastClr="000000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519678791871246"/>
                  <c:y val="0.12176703257559704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Fig4_34N!$G$40:$G$59</c:f>
                <c:numCache>
                  <c:formatCode>General</c:formatCode>
                  <c:ptCount val="20"/>
                  <c:pt idx="0">
                    <c:v>3.2472167694809047E-2</c:v>
                  </c:pt>
                  <c:pt idx="1">
                    <c:v>7.4999999999999997E-3</c:v>
                  </c:pt>
                  <c:pt idx="2">
                    <c:v>9.0000000000000011E-3</c:v>
                  </c:pt>
                  <c:pt idx="3">
                    <c:v>3.7104940807014667E-3</c:v>
                  </c:pt>
                  <c:pt idx="4">
                    <c:v>2.3758332214390623E-3</c:v>
                  </c:pt>
                  <c:pt idx="5">
                    <c:v>4.6383880371668861E-3</c:v>
                  </c:pt>
                  <c:pt idx="6">
                    <c:v>2.2736612212602522E-2</c:v>
                  </c:pt>
                  <c:pt idx="7">
                    <c:v>5.300705829572515E-3</c:v>
                  </c:pt>
                  <c:pt idx="8">
                    <c:v>1.8829500451696363E-2</c:v>
                  </c:pt>
                  <c:pt idx="9">
                    <c:v>3.8013331543028366E-3</c:v>
                  </c:pt>
                  <c:pt idx="10">
                    <c:v>1.011707042885919E-2</c:v>
                  </c:pt>
                  <c:pt idx="11">
                    <c:v>2.6381597166396216E-2</c:v>
                  </c:pt>
                  <c:pt idx="12">
                    <c:v>2.4830204187641588E-2</c:v>
                  </c:pt>
                  <c:pt idx="13">
                    <c:v>4.6957535409446229E-2</c:v>
                  </c:pt>
                  <c:pt idx="14">
                    <c:v>4.7741677426538877E-2</c:v>
                  </c:pt>
                  <c:pt idx="15">
                    <c:v>5.9281299985746029E-2</c:v>
                  </c:pt>
                  <c:pt idx="16">
                    <c:v>4.8703074390251615E-2</c:v>
                  </c:pt>
                  <c:pt idx="17">
                    <c:v>9.4599832919596158E-2</c:v>
                  </c:pt>
                  <c:pt idx="18">
                    <c:v>0.11846776830078455</c:v>
                  </c:pt>
                  <c:pt idx="19">
                    <c:v>0.30299999999999999</c:v>
                  </c:pt>
                </c:numCache>
              </c:numRef>
            </c:plus>
            <c:minus>
              <c:numRef>
                <c:f>Fig4_34N!$G$40:$G$59</c:f>
                <c:numCache>
                  <c:formatCode>General</c:formatCode>
                  <c:ptCount val="20"/>
                  <c:pt idx="0">
                    <c:v>3.2472167694809047E-2</c:v>
                  </c:pt>
                  <c:pt idx="1">
                    <c:v>7.4999999999999997E-3</c:v>
                  </c:pt>
                  <c:pt idx="2">
                    <c:v>9.0000000000000011E-3</c:v>
                  </c:pt>
                  <c:pt idx="3">
                    <c:v>3.7104940807014667E-3</c:v>
                  </c:pt>
                  <c:pt idx="4">
                    <c:v>2.3758332214390623E-3</c:v>
                  </c:pt>
                  <c:pt idx="5">
                    <c:v>4.6383880371668861E-3</c:v>
                  </c:pt>
                  <c:pt idx="6">
                    <c:v>2.2736612212602522E-2</c:v>
                  </c:pt>
                  <c:pt idx="7">
                    <c:v>5.300705829572515E-3</c:v>
                  </c:pt>
                  <c:pt idx="8">
                    <c:v>1.8829500451696363E-2</c:v>
                  </c:pt>
                  <c:pt idx="9">
                    <c:v>3.8013331543028366E-3</c:v>
                  </c:pt>
                  <c:pt idx="10">
                    <c:v>1.011707042885919E-2</c:v>
                  </c:pt>
                  <c:pt idx="11">
                    <c:v>2.6381597166396216E-2</c:v>
                  </c:pt>
                  <c:pt idx="12">
                    <c:v>2.4830204187641588E-2</c:v>
                  </c:pt>
                  <c:pt idx="13">
                    <c:v>4.6957535409446229E-2</c:v>
                  </c:pt>
                  <c:pt idx="14">
                    <c:v>4.7741677426538877E-2</c:v>
                  </c:pt>
                  <c:pt idx="15">
                    <c:v>5.9281299985746029E-2</c:v>
                  </c:pt>
                  <c:pt idx="16">
                    <c:v>4.8703074390251615E-2</c:v>
                  </c:pt>
                  <c:pt idx="17">
                    <c:v>9.4599832919596158E-2</c:v>
                  </c:pt>
                  <c:pt idx="18">
                    <c:v>0.11846776830078455</c:v>
                  </c:pt>
                  <c:pt idx="19">
                    <c:v>0.30299999999999999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Fig4_34N!$A$40:$A$59</c:f>
              <c:numCache>
                <c:formatCode>0.00</c:formatCode>
                <c:ptCount val="20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0.875</c:v>
                </c:pt>
                <c:pt idx="5">
                  <c:v>1</c:v>
                </c:pt>
                <c:pt idx="6">
                  <c:v>1.25</c:v>
                </c:pt>
                <c:pt idx="7">
                  <c:v>1.5</c:v>
                </c:pt>
                <c:pt idx="8">
                  <c:v>1.75</c:v>
                </c:pt>
                <c:pt idx="9">
                  <c:v>2</c:v>
                </c:pt>
                <c:pt idx="10">
                  <c:v>4</c:v>
                </c:pt>
                <c:pt idx="11">
                  <c:v>5.18</c:v>
                </c:pt>
                <c:pt idx="12">
                  <c:v>7</c:v>
                </c:pt>
                <c:pt idx="13">
                  <c:v>10</c:v>
                </c:pt>
                <c:pt idx="14">
                  <c:v>12</c:v>
                </c:pt>
                <c:pt idx="15">
                  <c:v>15</c:v>
                </c:pt>
                <c:pt idx="16">
                  <c:v>20</c:v>
                </c:pt>
                <c:pt idx="17">
                  <c:v>30</c:v>
                </c:pt>
                <c:pt idx="18">
                  <c:v>40</c:v>
                </c:pt>
                <c:pt idx="19">
                  <c:v>100</c:v>
                </c:pt>
              </c:numCache>
            </c:numRef>
          </c:xVal>
          <c:yVal>
            <c:numRef>
              <c:f>Fig4_34N!$F$40:$F$59</c:f>
              <c:numCache>
                <c:formatCode>0.000</c:formatCode>
                <c:ptCount val="20"/>
                <c:pt idx="0">
                  <c:v>4.9148761111111101</c:v>
                </c:pt>
                <c:pt idx="1">
                  <c:v>6.1074999999999999</c:v>
                </c:pt>
                <c:pt idx="2">
                  <c:v>7.2240000000000002</c:v>
                </c:pt>
                <c:pt idx="3">
                  <c:v>8.3650000000000002</c:v>
                </c:pt>
                <c:pt idx="4">
                  <c:v>8.9484375000000007</c:v>
                </c:pt>
                <c:pt idx="5">
                  <c:v>9.5175000000000001</c:v>
                </c:pt>
                <c:pt idx="6">
                  <c:v>10.624499999999999</c:v>
                </c:pt>
                <c:pt idx="7">
                  <c:v>11.7575</c:v>
                </c:pt>
                <c:pt idx="8">
                  <c:v>12.90025</c:v>
                </c:pt>
                <c:pt idx="9">
                  <c:v>14.0685</c:v>
                </c:pt>
                <c:pt idx="10">
                  <c:v>23.193750000000001</c:v>
                </c:pt>
                <c:pt idx="11">
                  <c:v>28.540784999999996</c:v>
                </c:pt>
                <c:pt idx="12">
                  <c:v>36.840000000000003</c:v>
                </c:pt>
                <c:pt idx="13">
                  <c:v>50.558750000000003</c:v>
                </c:pt>
                <c:pt idx="14">
                  <c:v>59.631</c:v>
                </c:pt>
                <c:pt idx="15">
                  <c:v>73.268000000000001</c:v>
                </c:pt>
                <c:pt idx="16">
                  <c:v>96.12224999999998</c:v>
                </c:pt>
                <c:pt idx="17">
                  <c:v>141.7165</c:v>
                </c:pt>
                <c:pt idx="18">
                  <c:v>187.411</c:v>
                </c:pt>
                <c:pt idx="19">
                  <c:v>460.12714285714281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05-498D-9C77-8DF434060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1492816"/>
        <c:axId val="2078879568"/>
      </c:scatterChart>
      <c:valAx>
        <c:axId val="2001492816"/>
        <c:scaling>
          <c:orientation val="minMax"/>
          <c:max val="103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800" b="1"/>
                  <a:t>f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in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78879568"/>
        <c:crosses val="autoZero"/>
        <c:crossBetween val="midCat"/>
        <c:minorUnit val="5"/>
      </c:valAx>
      <c:valAx>
        <c:axId val="207887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800" b="0" i="0" baseline="0">
                    <a:effectLst/>
                    <a:sym typeface="Symbol" panose="05050102010706020507" pitchFamily="18" charset="2"/>
                  </a:rPr>
                  <a:t></a:t>
                </a:r>
                <a:r>
                  <a:rPr lang="en-US" sz="800" b="0" i="0" baseline="0">
                    <a:effectLst/>
                  </a:rPr>
                  <a:t> ADFRET </a:t>
                </a:r>
                <a:r>
                  <a:rPr lang="en-US" sz="800" b="0" i="0" baseline="0">
                    <a:effectLst/>
                    <a:sym typeface="Symbol" panose="05050102010706020507" pitchFamily="18" charset="2"/>
                  </a:rPr>
                  <a:t></a:t>
                </a:r>
                <a:r>
                  <a:rPr lang="en-US" sz="800" b="0" i="0" baseline="0">
                    <a:effectLst/>
                  </a:rPr>
                  <a:t> </a:t>
                </a:r>
                <a:r>
                  <a:rPr lang="en-US" sz="800"/>
                  <a:t>(1+f)</a:t>
                </a:r>
              </a:p>
            </c:rich>
          </c:tx>
          <c:layout>
            <c:manualLayout>
              <c:xMode val="edge"/>
              <c:yMode val="edge"/>
              <c:x val="0"/>
              <c:y val="0.248257282707238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8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01492816"/>
        <c:crosses val="autoZero"/>
        <c:crossBetween val="midCat"/>
        <c:majorUnit val="100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dilution 34N'</a:t>
            </a:r>
          </a:p>
        </c:rich>
      </c:tx>
      <c:layout>
        <c:manualLayout>
          <c:xMode val="edge"/>
          <c:yMode val="edge"/>
          <c:x val="0.39407507859064755"/>
          <c:y val="0.169275779568280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965974339637607"/>
          <c:y val="5.8358403756757778E-2"/>
          <c:w val="0.77967452216848132"/>
          <c:h val="0.80213534415842469"/>
        </c:manualLayout>
      </c:layout>
      <c:scatterChart>
        <c:scatterStyle val="lineMarker"/>
        <c:varyColors val="0"/>
        <c:ser>
          <c:idx val="0"/>
          <c:order val="0"/>
          <c:tx>
            <c:strRef>
              <c:f>Lifetime_dilution_34N!$K$17</c:f>
              <c:strCache>
                <c:ptCount val="1"/>
                <c:pt idx="0">
                  <c:v>Lifetime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Lifetime_dilution_34N!$L$18:$L$37</c:f>
                <c:numCache>
                  <c:formatCode>General</c:formatCode>
                  <c:ptCount val="20"/>
                  <c:pt idx="0">
                    <c:v>3.2472167694809047E-2</c:v>
                  </c:pt>
                  <c:pt idx="1">
                    <c:v>4.0824829046389784E-3</c:v>
                  </c:pt>
                  <c:pt idx="2">
                    <c:v>6.4549722436790967E-3</c:v>
                  </c:pt>
                  <c:pt idx="3">
                    <c:v>2.1602468994695971E-3</c:v>
                  </c:pt>
                  <c:pt idx="4">
                    <c:v>1.2909944487357783E-3</c:v>
                  </c:pt>
                  <c:pt idx="5">
                    <c:v>2.362907813126279E-3</c:v>
                  </c:pt>
                  <c:pt idx="6">
                    <c:v>1.029563014098716E-2</c:v>
                  </c:pt>
                  <c:pt idx="7">
                    <c:v>2.160246899469186E-3</c:v>
                  </c:pt>
                  <c:pt idx="8">
                    <c:v>6.9761498454856156E-3</c:v>
                  </c:pt>
                  <c:pt idx="9">
                    <c:v>1.2909944487358928E-3</c:v>
                  </c:pt>
                  <c:pt idx="10">
                    <c:v>2.0615528128088006E-3</c:v>
                  </c:pt>
                  <c:pt idx="11">
                    <c:v>4.3493294502332342E-3</c:v>
                  </c:pt>
                  <c:pt idx="12">
                    <c:v>3.1622776601683122E-3</c:v>
                  </c:pt>
                  <c:pt idx="13">
                    <c:v>4.3493294502335231E-3</c:v>
                  </c:pt>
                  <c:pt idx="14">
                    <c:v>3.741657386773688E-3</c:v>
                  </c:pt>
                  <c:pt idx="15">
                    <c:v>3.7749172176353807E-3</c:v>
                  </c:pt>
                  <c:pt idx="16">
                    <c:v>2.3629078131262478E-3</c:v>
                  </c:pt>
                  <c:pt idx="17">
                    <c:v>3.1091263510294054E-3</c:v>
                  </c:pt>
                  <c:pt idx="18">
                    <c:v>2.9439202887761276E-3</c:v>
                  </c:pt>
                  <c:pt idx="19">
                    <c:v>1.0636934945121038E-2</c:v>
                  </c:pt>
                </c:numCache>
              </c:numRef>
            </c:plus>
            <c:minus>
              <c:numRef>
                <c:f>Lifetime_dilution_34N!$L$18:$L$37</c:f>
                <c:numCache>
                  <c:formatCode>General</c:formatCode>
                  <c:ptCount val="20"/>
                  <c:pt idx="0">
                    <c:v>3.2472167694809047E-2</c:v>
                  </c:pt>
                  <c:pt idx="1">
                    <c:v>4.0824829046389784E-3</c:v>
                  </c:pt>
                  <c:pt idx="2">
                    <c:v>6.4549722436790967E-3</c:v>
                  </c:pt>
                  <c:pt idx="3">
                    <c:v>2.1602468994695971E-3</c:v>
                  </c:pt>
                  <c:pt idx="4">
                    <c:v>1.2909944487357783E-3</c:v>
                  </c:pt>
                  <c:pt idx="5">
                    <c:v>2.362907813126279E-3</c:v>
                  </c:pt>
                  <c:pt idx="6">
                    <c:v>1.029563014098716E-2</c:v>
                  </c:pt>
                  <c:pt idx="7">
                    <c:v>2.160246899469186E-3</c:v>
                  </c:pt>
                  <c:pt idx="8">
                    <c:v>6.9761498454856156E-3</c:v>
                  </c:pt>
                  <c:pt idx="9">
                    <c:v>1.2909944487358928E-3</c:v>
                  </c:pt>
                  <c:pt idx="10">
                    <c:v>2.0615528128088006E-3</c:v>
                  </c:pt>
                  <c:pt idx="11">
                    <c:v>4.3493294502332342E-3</c:v>
                  </c:pt>
                  <c:pt idx="12">
                    <c:v>3.1622776601683122E-3</c:v>
                  </c:pt>
                  <c:pt idx="13">
                    <c:v>4.3493294502335231E-3</c:v>
                  </c:pt>
                  <c:pt idx="14">
                    <c:v>3.741657386773688E-3</c:v>
                  </c:pt>
                  <c:pt idx="15">
                    <c:v>3.7749172176353807E-3</c:v>
                  </c:pt>
                  <c:pt idx="16">
                    <c:v>2.3629078131262478E-3</c:v>
                  </c:pt>
                  <c:pt idx="17">
                    <c:v>3.1091263510294054E-3</c:v>
                  </c:pt>
                  <c:pt idx="18">
                    <c:v>2.9439202887761276E-3</c:v>
                  </c:pt>
                  <c:pt idx="19">
                    <c:v>1.0636934945121038E-2</c:v>
                  </c:pt>
                </c:numCache>
              </c:numRef>
            </c:minus>
          </c:errBars>
          <c:xVal>
            <c:numRef>
              <c:f>Lifetime_dilution_34N!$J$18:$J$37</c:f>
              <c:numCache>
                <c:formatCode>0.0</c:formatCode>
                <c:ptCount val="20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0.875</c:v>
                </c:pt>
                <c:pt idx="5">
                  <c:v>1</c:v>
                </c:pt>
                <c:pt idx="6">
                  <c:v>1.25</c:v>
                </c:pt>
                <c:pt idx="7">
                  <c:v>1.5</c:v>
                </c:pt>
                <c:pt idx="8">
                  <c:v>1.75</c:v>
                </c:pt>
                <c:pt idx="9">
                  <c:v>2</c:v>
                </c:pt>
                <c:pt idx="10">
                  <c:v>4</c:v>
                </c:pt>
                <c:pt idx="11">
                  <c:v>5.18</c:v>
                </c:pt>
                <c:pt idx="12">
                  <c:v>7</c:v>
                </c:pt>
                <c:pt idx="13">
                  <c:v>10</c:v>
                </c:pt>
                <c:pt idx="14">
                  <c:v>12</c:v>
                </c:pt>
                <c:pt idx="15">
                  <c:v>15</c:v>
                </c:pt>
                <c:pt idx="16">
                  <c:v>20</c:v>
                </c:pt>
                <c:pt idx="17">
                  <c:v>30</c:v>
                </c:pt>
                <c:pt idx="18">
                  <c:v>40</c:v>
                </c:pt>
                <c:pt idx="19" formatCode="General">
                  <c:v>100</c:v>
                </c:pt>
              </c:numCache>
            </c:numRef>
          </c:xVal>
          <c:yVal>
            <c:numRef>
              <c:f>Lifetime_dilution_34N!$K$18:$K$37</c:f>
              <c:numCache>
                <c:formatCode>0.000</c:formatCode>
                <c:ptCount val="20"/>
                <c:pt idx="0">
                  <c:v>4.9148761111111101</c:v>
                </c:pt>
                <c:pt idx="1">
                  <c:v>4.8859999999999992</c:v>
                </c:pt>
                <c:pt idx="2">
                  <c:v>4.8174999999999999</c:v>
                </c:pt>
                <c:pt idx="3">
                  <c:v>4.78</c:v>
                </c:pt>
                <c:pt idx="4">
                  <c:v>4.7725</c:v>
                </c:pt>
                <c:pt idx="5">
                  <c:v>4.7587499999999991</c:v>
                </c:pt>
                <c:pt idx="6">
                  <c:v>4.7219999999999995</c:v>
                </c:pt>
                <c:pt idx="7">
                  <c:v>4.7030000000000003</c:v>
                </c:pt>
                <c:pt idx="8">
                  <c:v>4.6909999999999998</c:v>
                </c:pt>
                <c:pt idx="9">
                  <c:v>4.6894999999999998</c:v>
                </c:pt>
                <c:pt idx="10">
                  <c:v>4.6387499999999999</c:v>
                </c:pt>
                <c:pt idx="11">
                  <c:v>4.6182499999999997</c:v>
                </c:pt>
                <c:pt idx="12">
                  <c:v>4.6050000000000004</c:v>
                </c:pt>
                <c:pt idx="13">
                  <c:v>4.5962500000000004</c:v>
                </c:pt>
                <c:pt idx="14">
                  <c:v>4.5869999999999997</c:v>
                </c:pt>
                <c:pt idx="15">
                  <c:v>4.57925</c:v>
                </c:pt>
                <c:pt idx="16">
                  <c:v>4.5772499999999994</c:v>
                </c:pt>
                <c:pt idx="17">
                  <c:v>4.5715000000000003</c:v>
                </c:pt>
                <c:pt idx="18">
                  <c:v>4.5709999999999997</c:v>
                </c:pt>
                <c:pt idx="19">
                  <c:v>4.5526470588235295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71-4098-943E-697C098B0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489055"/>
        <c:axId val="1"/>
      </c:scatterChart>
      <c:valAx>
        <c:axId val="138489055"/>
        <c:scaling>
          <c:orientation val="minMax"/>
          <c:max val="105"/>
          <c:min val="0"/>
        </c:scaling>
        <c:delete val="0"/>
        <c:axPos val="b"/>
        <c:majorGridlines>
          <c:spPr>
            <a:ln>
              <a:solidFill>
                <a:schemeClr val="bg2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f, dilution</a:t>
                </a:r>
              </a:p>
            </c:rich>
          </c:tx>
          <c:overlay val="0"/>
        </c:title>
        <c:numFmt formatCode="0.0" sourceLinked="1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2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Lifetime, ns</a:t>
                </a:r>
              </a:p>
            </c:rich>
          </c:tx>
          <c:overlay val="0"/>
        </c:title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8489055"/>
        <c:crosses val="autoZero"/>
        <c:crossBetween val="midCat"/>
      </c:valAx>
      <c:spPr>
        <a:solidFill>
          <a:schemeClr val="bg1"/>
        </a:solidFill>
        <a:ln w="12700">
          <a:solidFill>
            <a:sysClr val="windowText" lastClr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9219217267453813"/>
          <c:y val="0.36522775238874927"/>
          <c:w val="0.16994021580635754"/>
          <c:h val="7.08468321568795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303295</xdr:colOff>
      <xdr:row>3</xdr:row>
      <xdr:rowOff>26611</xdr:rowOff>
    </xdr:from>
    <xdr:to>
      <xdr:col>12</xdr:col>
      <xdr:colOff>653143</xdr:colOff>
      <xdr:row>15</xdr:row>
      <xdr:rowOff>5457</xdr:rowOff>
    </xdr:to>
    <xdr:graphicFrame macro="">
      <xdr:nvGraphicFramePr>
        <xdr:cNvPr id="2" name="Chart 33">
          <a:extLst>
            <a:ext uri="{FF2B5EF4-FFF2-40B4-BE49-F238E27FC236}">
              <a16:creationId xmlns:a16="http://schemas.microsoft.com/office/drawing/2014/main" id="{37C8A7C7-0177-4B45-A3C7-301193FF42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337457</xdr:colOff>
      <xdr:row>2</xdr:row>
      <xdr:rowOff>76200</xdr:rowOff>
    </xdr:from>
    <xdr:to>
      <xdr:col>21</xdr:col>
      <xdr:colOff>359229</xdr:colOff>
      <xdr:row>13</xdr:row>
      <xdr:rowOff>166915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45955-5C0A-4011-8E07-DDE4B7704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370116</xdr:colOff>
      <xdr:row>4</xdr:row>
      <xdr:rowOff>12700</xdr:rowOff>
    </xdr:from>
    <xdr:to>
      <xdr:col>8</xdr:col>
      <xdr:colOff>279400</xdr:colOff>
      <xdr:row>15</xdr:row>
      <xdr:rowOff>63499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3BE2EBD-9E6B-4805-B0D4-E03FD77FEB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947660</xdr:colOff>
      <xdr:row>3</xdr:row>
      <xdr:rowOff>95552</xdr:rowOff>
    </xdr:from>
    <xdr:to>
      <xdr:col>17</xdr:col>
      <xdr:colOff>56846</xdr:colOff>
      <xdr:row>14</xdr:row>
      <xdr:rowOff>41380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D71F4B8-4751-4A0E-983F-DF70600EBC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0.83266</cdr:x>
      <cdr:y>0.08865</cdr:y>
    </cdr:from>
    <cdr:to>
      <cdr:x>0.94895</cdr:x>
      <cdr:y>0.28486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8A2FB82-3534-44E3-8054-72686955CB91}"/>
            </a:ext>
          </a:extLst>
        </cdr:cNvPr>
        <cdr:cNvSpPr txBox="1"/>
      </cdr:nvSpPr>
      <cdr:spPr>
        <a:xfrm xmlns:a="http://schemas.openxmlformats.org/drawingml/2006/main">
          <a:off x="2641926" y="179547"/>
          <a:ext cx="368974" cy="3973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F</a:t>
          </a:r>
          <a:endParaRPr lang="en-US" sz="20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0.8313</cdr:x>
      <cdr:y>0.05964</cdr:y>
    </cdr:from>
    <cdr:to>
      <cdr:x>0.89892</cdr:x>
      <cdr:y>0.23461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1AC136-A4A8-4CDC-A43B-793560AC6207}"/>
            </a:ext>
          </a:extLst>
        </cdr:cNvPr>
        <cdr:cNvSpPr txBox="1"/>
      </cdr:nvSpPr>
      <cdr:spPr>
        <a:xfrm xmlns:a="http://schemas.openxmlformats.org/drawingml/2006/main">
          <a:off x="2506655" y="130060"/>
          <a:ext cx="203889" cy="3815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H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0.82361</cdr:x>
      <cdr:y>0.10648</cdr:y>
    </cdr:from>
    <cdr:to>
      <cdr:x>0.92361</cdr:x>
      <cdr:y>0.29167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7D73AEE-549E-4D22-8025-55586D2C563C}"/>
            </a:ext>
          </a:extLst>
        </cdr:cNvPr>
        <cdr:cNvSpPr txBox="1"/>
      </cdr:nvSpPr>
      <cdr:spPr>
        <a:xfrm xmlns:a="http://schemas.openxmlformats.org/drawingml/2006/main">
          <a:off x="3765550" y="292100"/>
          <a:ext cx="457200" cy="50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0.17818</cdr:x>
      <cdr:y>0.05904</cdr:y>
    </cdr:from>
    <cdr:to>
      <cdr:x>0.28479</cdr:x>
      <cdr:y>0.22999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615093E-BC80-46DE-A70A-8BF4C64834DF}"/>
            </a:ext>
          </a:extLst>
        </cdr:cNvPr>
        <cdr:cNvSpPr txBox="1"/>
      </cdr:nvSpPr>
      <cdr:spPr>
        <a:xfrm xmlns:a="http://schemas.openxmlformats.org/drawingml/2006/main">
          <a:off x="550528" y="131338"/>
          <a:ext cx="329400" cy="380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latin typeface="Times New Roman" panose="02020603050405020304" pitchFamily="18" charset="0"/>
              <a:cs typeface="Times New Roman" panose="02020603050405020304" pitchFamily="18" charset="0"/>
            </a:rPr>
            <a:t>G</a:t>
          </a:r>
          <a:endParaRPr lang="en-US" sz="20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135438</xdr:colOff>
      <xdr:row>20</xdr:row>
      <xdr:rowOff>127000</xdr:rowOff>
    </xdr:from>
    <xdr:to>
      <xdr:col>22</xdr:col>
      <xdr:colOff>281214</xdr:colOff>
      <xdr:row>36</xdr:row>
      <xdr:rowOff>128361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C6155B2-0384-4E3F-B729-78B5B4402D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548640</xdr:colOff>
      <xdr:row>6</xdr:row>
      <xdr:rowOff>60960</xdr:rowOff>
    </xdr:from>
    <xdr:to>
      <xdr:col>17</xdr:col>
      <xdr:colOff>515984</xdr:colOff>
      <xdr:row>13</xdr:row>
      <xdr:rowOff>163286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3BDEAB-5E9C-43CF-A88C-9A5A0BAF47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3899" t="64379" r="27520" b="10973"/>
        <a:stretch/>
      </xdr:blipFill>
      <xdr:spPr>
        <a:xfrm>
          <a:off x="6035040" y="1158240"/>
          <a:ext cx="4844144" cy="1382486"/>
        </a:xfrm>
        <a:prstGeom prst="rect">
          <a:avLst/>
        </a:prstGeom>
      </xdr:spPr>
    </xdr:pic>
    <xdr:clientData/>
  </xdr:twoCellAnchor>
  <xdr:twoCellAnchor editAs="oneCell">
    <xdr:from>
      <xdr:col>9</xdr:col>
      <xdr:colOff>518160</xdr:colOff>
      <xdr:row>0</xdr:row>
      <xdr:rowOff>15240</xdr:rowOff>
    </xdr:from>
    <xdr:to>
      <xdr:col>17</xdr:col>
      <xdr:colOff>548640</xdr:colOff>
      <xdr:row>4</xdr:row>
      <xdr:rowOff>100149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0443D5-FE30-4BEE-924A-A4608E3A1C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124" t="22352" r="25374" b="63092"/>
        <a:stretch/>
      </xdr:blipFill>
      <xdr:spPr>
        <a:xfrm>
          <a:off x="6004560" y="15240"/>
          <a:ext cx="4907280" cy="816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419705</xdr:colOff>
      <xdr:row>11</xdr:row>
      <xdr:rowOff>83820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50E8475-3632-417B-AA89-B8D074DAFD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378" t="24669" r="4487" b="21768"/>
        <a:stretch/>
      </xdr:blipFill>
      <xdr:spPr>
        <a:xfrm>
          <a:off x="0" y="0"/>
          <a:ext cx="5906105" cy="209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D10C0-844B-4694-A561-B0E58573A7A9}">
  <sheetPr>
    <tabColor theme="4"/>
  </sheetPr>
  <dimension ref="A1:Y125"/>
  <sheetViews>
    <sheetView tabSelected="1" topLeftCell="A4" zoomScale="70" zoomScaleNormal="70" zoomScaleSheetLayoutView="100" workbookViewId="0">
      <selection activeCell="A30" sqref="A30"/>
    </sheetView>
  </sheetViews>
  <sheetFormatPr defaultRowHeight="13.2"/>
  <cols>
    <col min="1" max="1" width="12" style="1" customWidth="1"/>
    <col min="2" max="2" width="9.88671875" style="1" customWidth="1"/>
    <col min="3" max="3" width="9.77734375" style="1" customWidth="1"/>
    <col min="4" max="4" width="11.88671875" style="1" customWidth="1"/>
    <col min="5" max="5" width="9.6640625" style="1" customWidth="1"/>
    <col min="6" max="6" width="12.5546875" style="1" customWidth="1"/>
    <col min="7" max="7" width="10.109375" style="1" customWidth="1"/>
    <col min="8" max="8" width="11.44140625" style="1" customWidth="1"/>
    <col min="9" max="9" width="9.44140625" style="1" customWidth="1"/>
    <col min="10" max="10" width="13" style="1" bestFit="1" customWidth="1"/>
    <col min="11" max="11" width="9.6640625" style="1" customWidth="1"/>
    <col min="12" max="12" width="13.21875" style="1" customWidth="1"/>
    <col min="13" max="13" width="14.109375" style="1" customWidth="1"/>
    <col min="14" max="14" width="13" style="1" customWidth="1"/>
    <col min="15" max="15" width="12.77734375" style="1" customWidth="1"/>
    <col min="16" max="16" width="11.77734375" style="1" customWidth="1"/>
    <col min="17" max="17" width="10.21875" style="1" customWidth="1"/>
    <col min="18" max="18" width="12.44140625" style="1" customWidth="1"/>
    <col min="19" max="19" width="11.44140625" style="1" customWidth="1"/>
    <col min="20" max="20" width="11.77734375" style="1" customWidth="1"/>
    <col min="21" max="21" width="11.33203125" style="1" customWidth="1"/>
    <col min="22" max="22" width="8" style="1" customWidth="1"/>
    <col min="23" max="23" width="9.33203125" style="1" bestFit="1" customWidth="1"/>
    <col min="24" max="26" width="8.88671875" style="1"/>
    <col min="27" max="27" width="8.5546875" style="1" customWidth="1"/>
    <col min="28" max="16384" width="8.88671875" style="1"/>
  </cols>
  <sheetData>
    <row r="1" spans="1:16">
      <c r="A1" s="43" t="s">
        <v>28</v>
      </c>
      <c r="B1" s="42" t="s">
        <v>27</v>
      </c>
      <c r="C1" s="42" t="s">
        <v>29</v>
      </c>
      <c r="D1" s="30"/>
      <c r="E1" s="41"/>
      <c r="F1" s="40" t="s">
        <v>26</v>
      </c>
      <c r="G1" s="40" t="s">
        <v>107</v>
      </c>
      <c r="H1" s="30"/>
      <c r="I1" s="30"/>
      <c r="J1" s="30"/>
      <c r="K1" s="30"/>
      <c r="O1" s="30"/>
      <c r="P1" s="30"/>
    </row>
    <row r="2" spans="1:16">
      <c r="A2" s="35" t="s">
        <v>25</v>
      </c>
      <c r="B2" s="31">
        <f>(B7-B13)/(B13-B6)</f>
        <v>0.66193441165768208</v>
      </c>
      <c r="C2" s="31">
        <f>B2*((C6/B6)^2+(C7/B7)^2+2*(C13/B13)^2)^0.5</f>
        <v>1.6121486355927351E-2</v>
      </c>
      <c r="D2" s="30"/>
      <c r="E2" s="39" t="s">
        <v>24</v>
      </c>
      <c r="F2" s="38">
        <f>V43</f>
        <v>4.55321943969403</v>
      </c>
      <c r="G2" s="38">
        <f>V47</f>
        <v>9.4488201539456342E-4</v>
      </c>
      <c r="H2" s="30"/>
      <c r="I2" s="30"/>
      <c r="J2" s="30"/>
      <c r="K2" s="30"/>
      <c r="O2" s="30"/>
      <c r="P2" s="30"/>
    </row>
    <row r="3" spans="1:16">
      <c r="A3" s="35" t="s">
        <v>23</v>
      </c>
      <c r="B3" s="36">
        <v>13</v>
      </c>
      <c r="C3" s="33">
        <v>0.3</v>
      </c>
      <c r="D3" s="30"/>
      <c r="E3" s="39" t="s">
        <v>22</v>
      </c>
      <c r="F3" s="38">
        <f>V44</f>
        <v>4.9811148078240466</v>
      </c>
      <c r="G3" s="38">
        <f>V48</f>
        <v>2.4525420664631713E-2</v>
      </c>
      <c r="H3" s="30"/>
      <c r="I3" s="30"/>
      <c r="J3" s="30"/>
      <c r="K3" s="30"/>
      <c r="O3" s="30"/>
      <c r="P3" s="30"/>
    </row>
    <row r="4" spans="1:16">
      <c r="A4" s="35" t="s">
        <v>21</v>
      </c>
      <c r="B4" s="31">
        <v>0.83</v>
      </c>
      <c r="C4" s="33">
        <v>0.02</v>
      </c>
      <c r="D4" s="30"/>
      <c r="E4" s="30"/>
      <c r="F4" s="30"/>
      <c r="G4" s="30"/>
      <c r="H4" s="30"/>
      <c r="I4" s="30"/>
      <c r="J4" s="30"/>
      <c r="K4" s="30"/>
      <c r="O4" s="30"/>
      <c r="P4" s="30"/>
    </row>
    <row r="5" spans="1:16">
      <c r="A5" s="35" t="s">
        <v>20</v>
      </c>
      <c r="B5" s="31">
        <f>(B2/(1+B2))*B3*B4</f>
        <v>4.2975656871214252</v>
      </c>
      <c r="C5" s="31">
        <f>(C2^2+C3^2+C4^2)^(1/2)</f>
        <v>0.30109782849154582</v>
      </c>
      <c r="D5" s="30"/>
      <c r="E5" s="30"/>
      <c r="F5" s="30"/>
      <c r="G5" s="30"/>
      <c r="H5" s="30"/>
      <c r="I5" s="30"/>
      <c r="J5" s="30"/>
      <c r="K5" s="30"/>
      <c r="O5" s="30"/>
      <c r="P5" s="30"/>
    </row>
    <row r="6" spans="1:16" ht="14.4" customHeight="1">
      <c r="A6" s="123" t="s">
        <v>109</v>
      </c>
      <c r="B6" s="31">
        <v>5.2075624999999999</v>
      </c>
      <c r="C6" s="31">
        <v>1.0369379326042632E-2</v>
      </c>
      <c r="D6" s="30"/>
      <c r="E6" s="30"/>
      <c r="F6" s="30"/>
      <c r="G6" s="30"/>
      <c r="H6" s="30"/>
      <c r="I6" s="30"/>
      <c r="J6" s="30"/>
      <c r="K6" s="30"/>
      <c r="O6" s="30"/>
      <c r="P6" s="30"/>
    </row>
    <row r="7" spans="1:16" ht="14.4" customHeight="1">
      <c r="A7" s="123" t="s">
        <v>110</v>
      </c>
      <c r="B7" s="37">
        <v>4.12</v>
      </c>
      <c r="C7" s="33">
        <v>0.1</v>
      </c>
      <c r="D7" s="30"/>
      <c r="E7" s="30"/>
      <c r="F7" s="30"/>
      <c r="G7" s="30"/>
      <c r="H7" s="30"/>
      <c r="I7" s="30"/>
      <c r="J7" s="30"/>
      <c r="K7" s="30"/>
      <c r="O7" s="30"/>
      <c r="P7" s="30"/>
    </row>
    <row r="8" spans="1:16" ht="13.8" customHeight="1">
      <c r="A8" s="13" t="s">
        <v>19</v>
      </c>
      <c r="B8" s="36">
        <v>61.812275921910469</v>
      </c>
      <c r="C8" s="36">
        <v>1.7235165039527942</v>
      </c>
      <c r="D8" s="30"/>
      <c r="E8" s="30"/>
      <c r="F8" s="30"/>
      <c r="G8" s="30"/>
      <c r="H8" s="30"/>
      <c r="I8" s="30"/>
      <c r="J8" s="30"/>
      <c r="K8" s="30"/>
      <c r="O8" s="30"/>
      <c r="P8" s="30"/>
    </row>
    <row r="9" spans="1:16">
      <c r="A9" s="35" t="s">
        <v>18</v>
      </c>
      <c r="B9" s="20">
        <f>B8^6</f>
        <v>55776133819.012878</v>
      </c>
      <c r="C9" s="20">
        <f>6*(B8^5)*C8</f>
        <v>9331261701.3352413</v>
      </c>
      <c r="D9" s="30"/>
      <c r="E9" s="30"/>
      <c r="F9" s="30"/>
      <c r="G9" s="30"/>
      <c r="H9" s="30"/>
      <c r="I9" s="30"/>
      <c r="J9" s="30"/>
      <c r="K9" s="30"/>
      <c r="L9" s="30"/>
      <c r="O9" s="30"/>
      <c r="P9" s="30"/>
    </row>
    <row r="10" spans="1:16">
      <c r="A10" s="123" t="s">
        <v>108</v>
      </c>
      <c r="B10" s="34">
        <v>4.12</v>
      </c>
      <c r="C10" s="33">
        <v>0.1</v>
      </c>
      <c r="D10" s="30"/>
      <c r="E10" s="30"/>
      <c r="F10" s="30"/>
      <c r="G10" s="30"/>
      <c r="H10" s="30"/>
      <c r="I10" s="30"/>
      <c r="J10" s="30"/>
      <c r="K10" s="30"/>
      <c r="M10" s="30"/>
      <c r="N10" s="30"/>
      <c r="O10" s="30"/>
      <c r="P10" s="30"/>
    </row>
    <row r="11" spans="1:16">
      <c r="A11" s="14" t="s">
        <v>17</v>
      </c>
      <c r="B11" s="16">
        <f>B2/(1+B2)</f>
        <v>0.39829153726797273</v>
      </c>
      <c r="C11" s="31">
        <f>B11*C2/B2</f>
        <v>9.7004347721803968E-3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>
      <c r="A12" s="14" t="s">
        <v>16</v>
      </c>
      <c r="B12" s="16">
        <f>1-B11</f>
        <v>0.60170846273202727</v>
      </c>
      <c r="C12" s="31">
        <f>B12*((C2/B2)^2+(C2/B2)^2)^(1/2)</f>
        <v>2.0724842483076059E-2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ht="15.6">
      <c r="A13" s="32" t="s">
        <v>105</v>
      </c>
      <c r="B13" s="31">
        <v>4.5531669399999997</v>
      </c>
      <c r="C13" s="31">
        <v>9.3351203600000002E-4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15.6">
      <c r="A14" s="32" t="s">
        <v>106</v>
      </c>
      <c r="B14" s="31">
        <v>4.5531669399999997</v>
      </c>
      <c r="C14" s="31">
        <v>1.0999999999999999E-2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>
      <c r="A15" s="29"/>
      <c r="B15" s="29"/>
      <c r="C15" s="29"/>
      <c r="D15" s="29"/>
      <c r="F15" s="29"/>
      <c r="G15" s="29"/>
      <c r="H15" s="29"/>
      <c r="I15" s="29"/>
      <c r="J15" s="29"/>
    </row>
    <row r="16" spans="1:16">
      <c r="A16" s="28">
        <v>4.9160000000000004</v>
      </c>
      <c r="B16" s="27">
        <v>4.9989999999999997</v>
      </c>
      <c r="C16" s="26">
        <f>AVERAGE(A16:B16)</f>
        <v>4.9574999999999996</v>
      </c>
      <c r="D16" s="25" t="s">
        <v>15</v>
      </c>
    </row>
    <row r="17" spans="1:24" ht="14.4">
      <c r="A17" s="117" t="s">
        <v>14</v>
      </c>
      <c r="B17" s="113" t="s">
        <v>101</v>
      </c>
      <c r="C17" s="118" t="s">
        <v>29</v>
      </c>
      <c r="D17" s="113" t="s">
        <v>13</v>
      </c>
      <c r="E17" s="118" t="s">
        <v>29</v>
      </c>
      <c r="F17" s="119" t="s">
        <v>12</v>
      </c>
      <c r="G17" s="118" t="s">
        <v>29</v>
      </c>
      <c r="H17" s="120" t="s">
        <v>11</v>
      </c>
      <c r="I17" s="118" t="s">
        <v>29</v>
      </c>
      <c r="J17" s="121" t="s">
        <v>10</v>
      </c>
      <c r="K17" s="118" t="s">
        <v>29</v>
      </c>
      <c r="L17" s="120" t="s">
        <v>9</v>
      </c>
      <c r="M17" s="118" t="s">
        <v>29</v>
      </c>
      <c r="N17" s="109" t="s">
        <v>8</v>
      </c>
      <c r="O17" s="118" t="s">
        <v>29</v>
      </c>
      <c r="P17" s="110" t="s">
        <v>7</v>
      </c>
      <c r="Q17" s="118" t="s">
        <v>29</v>
      </c>
      <c r="R17" s="110" t="s">
        <v>6</v>
      </c>
      <c r="S17" s="118" t="s">
        <v>29</v>
      </c>
      <c r="T17" s="122" t="s">
        <v>5</v>
      </c>
      <c r="U17" s="111" t="s">
        <v>29</v>
      </c>
      <c r="V17" s="111" t="s">
        <v>29</v>
      </c>
      <c r="W17" s="110" t="s">
        <v>4</v>
      </c>
      <c r="X17" s="122" t="s">
        <v>29</v>
      </c>
    </row>
    <row r="18" spans="1:24">
      <c r="A18" s="23">
        <v>0</v>
      </c>
      <c r="B18" s="8">
        <v>4.9148761111111101</v>
      </c>
      <c r="C18" s="7">
        <v>3.2472167694809047E-2</v>
      </c>
      <c r="D18" s="6">
        <f t="shared" ref="D18:D37" si="0">$B$7/($B$2+1)</f>
        <v>2.479038866455952</v>
      </c>
      <c r="E18" s="5">
        <f t="shared" ref="E18:E37" si="1">D18*(($C$11/$B$11)^2+($C$7/$B$7)^2)^(1/2)</f>
        <v>8.5240513914252788E-2</v>
      </c>
      <c r="F18" s="8">
        <f t="shared" ref="F18:F37" si="2">$B$13</f>
        <v>4.5531669399999997</v>
      </c>
      <c r="G18" s="5">
        <f t="shared" ref="G18:G37" si="3">$C$14</f>
        <v>1.0999999999999999E-2</v>
      </c>
      <c r="H18" s="21">
        <f t="shared" ref="H18:H37" si="4">B18-$B$13</f>
        <v>0.36170917111111045</v>
      </c>
      <c r="I18" s="22">
        <f t="shared" ref="I18:I37" si="5">(C18/B18)^2+$C$13/$B$13</f>
        <v>2.4867609999671043E-4</v>
      </c>
      <c r="J18" s="8">
        <f t="shared" ref="J18:J37" si="6">$B$5*$B$6</f>
        <v>22.379841913540265</v>
      </c>
      <c r="K18" s="5">
        <f t="shared" ref="K18:K37" si="7">J18*(($C$6/$B$6)^2+($C$5/$B$5)^2)*(1/2)</f>
        <v>5.4972801494059483E-2</v>
      </c>
      <c r="L18" s="6">
        <f t="shared" ref="L18:L37" si="8">J18-D18</f>
        <v>19.900803047084313</v>
      </c>
      <c r="M18" s="5">
        <f t="shared" ref="M18:M37" si="9">((K18/J18)^2+(E18/D18)^2)^(1/2)</f>
        <v>3.4472127410528783E-2</v>
      </c>
      <c r="N18" s="20">
        <f t="shared" ref="N18:N37" si="10">H18/L18</f>
        <v>1.8175606796134031E-2</v>
      </c>
      <c r="O18" s="19">
        <f t="shared" ref="O18:O37" si="11">N18*(($M$18/$L$18)^2+($I$18/$H$18)^2)^(1/2)</f>
        <v>3.3872863030866346E-5</v>
      </c>
      <c r="P18" s="21">
        <f t="shared" ref="P18:P37" si="12">N18/$B$7</f>
        <v>4.4115550476053469E-3</v>
      </c>
      <c r="Q18" s="19">
        <f t="shared" ref="Q18:Q37" si="13">P18*((O18/N18)^2+($C$7/$B$7)^2)^(1/2)</f>
        <v>1.0739174979849528E-4</v>
      </c>
      <c r="R18" s="20">
        <f t="shared" ref="R18:R37" si="14">$B$9/N18</f>
        <v>3068735720607.4966</v>
      </c>
      <c r="S18" s="19">
        <f t="shared" ref="S18:S37" si="15">R18*((O18/N18)^2+($C$9/$B$9)^2)^(1/2)</f>
        <v>513426635665.97455</v>
      </c>
      <c r="T18" s="18">
        <f t="shared" ref="T18:T37" si="16">R18^(1/6)</f>
        <v>120.54797372327812</v>
      </c>
      <c r="U18" s="17">
        <f t="shared" ref="U18:U37" si="17">(1/6)*(R18^(-5/6))*S18</f>
        <v>3.3614570852672756</v>
      </c>
      <c r="V18" s="17">
        <f t="shared" ref="V18:V37" si="18">T18*(1/6)*S18/R18</f>
        <v>3.3614570852672698</v>
      </c>
      <c r="W18" s="66">
        <f t="shared" ref="W18:W37" si="19">H18/(I18^2+C18^2)^0.5</f>
        <v>11.138725582003946</v>
      </c>
      <c r="X18" s="5">
        <f t="shared" ref="X18:X37" si="20">W18*((I18/H18)^2+(C18/B18)^2+(G18/F18)^2)^0.5</f>
        <v>7.873161409363344E-2</v>
      </c>
    </row>
    <row r="19" spans="1:24">
      <c r="A19" s="23">
        <v>0.25</v>
      </c>
      <c r="B19" s="8">
        <v>4.8860000000000001</v>
      </c>
      <c r="C19" s="7">
        <v>6.0000000000000001E-3</v>
      </c>
      <c r="D19" s="6">
        <f t="shared" si="0"/>
        <v>2.479038866455952</v>
      </c>
      <c r="E19" s="5">
        <f t="shared" si="1"/>
        <v>8.5240513914252788E-2</v>
      </c>
      <c r="F19" s="8">
        <f t="shared" si="2"/>
        <v>4.5531669399999997</v>
      </c>
      <c r="G19" s="5">
        <f t="shared" si="3"/>
        <v>1.0999999999999999E-2</v>
      </c>
      <c r="H19" s="21">
        <f t="shared" si="4"/>
        <v>0.33283306000000046</v>
      </c>
      <c r="I19" s="22">
        <f t="shared" si="5"/>
        <v>2.0653275686511024E-4</v>
      </c>
      <c r="J19" s="8">
        <f t="shared" si="6"/>
        <v>22.379841913540265</v>
      </c>
      <c r="K19" s="5">
        <f t="shared" si="7"/>
        <v>5.4972801494059483E-2</v>
      </c>
      <c r="L19" s="6">
        <f t="shared" si="8"/>
        <v>19.900803047084313</v>
      </c>
      <c r="M19" s="5">
        <f t="shared" si="9"/>
        <v>3.4472127410528783E-2</v>
      </c>
      <c r="N19" s="20">
        <f t="shared" si="10"/>
        <v>1.6724604490207452E-2</v>
      </c>
      <c r="O19" s="19">
        <f t="shared" si="11"/>
        <v>3.1168711091544219E-5</v>
      </c>
      <c r="P19" s="21">
        <f t="shared" si="12"/>
        <v>4.0593700218950124E-3</v>
      </c>
      <c r="Q19" s="19">
        <f t="shared" si="13"/>
        <v>9.8818408707717994E-5</v>
      </c>
      <c r="R19" s="20">
        <f t="shared" si="14"/>
        <v>3334974758396.8745</v>
      </c>
      <c r="S19" s="19">
        <f t="shared" si="15"/>
        <v>557970782148.58081</v>
      </c>
      <c r="T19" s="18">
        <f t="shared" si="16"/>
        <v>122.23120461998577</v>
      </c>
      <c r="U19" s="17">
        <f t="shared" si="17"/>
        <v>3.4083936554071057</v>
      </c>
      <c r="V19" s="17">
        <f t="shared" si="18"/>
        <v>3.4083936554071146</v>
      </c>
      <c r="W19" s="66">
        <f t="shared" si="19"/>
        <v>55.439341829735831</v>
      </c>
      <c r="X19" s="5">
        <f t="shared" si="20"/>
        <v>0.15413347447782233</v>
      </c>
    </row>
    <row r="20" spans="1:24">
      <c r="A20" s="23">
        <v>0.5</v>
      </c>
      <c r="B20" s="8">
        <v>4.8159999999999998</v>
      </c>
      <c r="C20" s="7">
        <v>6.0000000000000001E-3</v>
      </c>
      <c r="D20" s="6">
        <f t="shared" si="0"/>
        <v>2.479038866455952</v>
      </c>
      <c r="E20" s="5">
        <f t="shared" si="1"/>
        <v>8.5240513914252788E-2</v>
      </c>
      <c r="F20" s="8">
        <f t="shared" si="2"/>
        <v>4.5531669399999997</v>
      </c>
      <c r="G20" s="5">
        <f t="shared" si="3"/>
        <v>1.0999999999999999E-2</v>
      </c>
      <c r="H20" s="21">
        <f t="shared" si="4"/>
        <v>0.26283306000000017</v>
      </c>
      <c r="I20" s="22">
        <f t="shared" si="5"/>
        <v>2.0657691207253871E-4</v>
      </c>
      <c r="J20" s="8">
        <f t="shared" si="6"/>
        <v>22.379841913540265</v>
      </c>
      <c r="K20" s="5">
        <f t="shared" si="7"/>
        <v>5.4972801494059483E-2</v>
      </c>
      <c r="L20" s="6">
        <f t="shared" si="8"/>
        <v>19.900803047084313</v>
      </c>
      <c r="M20" s="5">
        <f t="shared" si="9"/>
        <v>3.4472127410528783E-2</v>
      </c>
      <c r="N20" s="20">
        <f t="shared" si="10"/>
        <v>1.3207158493963795E-2</v>
      </c>
      <c r="O20" s="19">
        <f t="shared" si="11"/>
        <v>2.4613443485591552E-5</v>
      </c>
      <c r="P20" s="21">
        <f t="shared" si="12"/>
        <v>3.2056209936805326E-3</v>
      </c>
      <c r="Q20" s="19">
        <f t="shared" si="13"/>
        <v>7.8035351250804668E-5</v>
      </c>
      <c r="R20" s="20">
        <f t="shared" si="14"/>
        <v>4223174412914.3921</v>
      </c>
      <c r="S20" s="19">
        <f t="shared" si="15"/>
        <v>706574442397.41248</v>
      </c>
      <c r="T20" s="18">
        <f t="shared" si="16"/>
        <v>127.13735430116573</v>
      </c>
      <c r="U20" s="17">
        <f t="shared" si="17"/>
        <v>3.5452006966025227</v>
      </c>
      <c r="V20" s="17">
        <f t="shared" si="18"/>
        <v>3.545200696602528</v>
      </c>
      <c r="W20" s="66">
        <f t="shared" si="19"/>
        <v>43.779569764737218</v>
      </c>
      <c r="X20" s="5">
        <f t="shared" si="20"/>
        <v>0.12387722412522149</v>
      </c>
    </row>
    <row r="21" spans="1:24">
      <c r="A21" s="23">
        <v>0.75</v>
      </c>
      <c r="B21" s="8">
        <v>4.78</v>
      </c>
      <c r="C21" s="7">
        <v>2.1202823318294097E-3</v>
      </c>
      <c r="D21" s="6">
        <f t="shared" si="0"/>
        <v>2.479038866455952</v>
      </c>
      <c r="E21" s="5">
        <f t="shared" si="1"/>
        <v>8.5240513914252788E-2</v>
      </c>
      <c r="F21" s="8">
        <f t="shared" si="2"/>
        <v>4.5531669399999997</v>
      </c>
      <c r="G21" s="5">
        <f t="shared" si="3"/>
        <v>1.0999999999999999E-2</v>
      </c>
      <c r="H21" s="21">
        <f t="shared" si="4"/>
        <v>0.22683306000000059</v>
      </c>
      <c r="I21" s="22">
        <f t="shared" si="5"/>
        <v>2.0522153452223028E-4</v>
      </c>
      <c r="J21" s="8">
        <f t="shared" si="6"/>
        <v>22.379841913540265</v>
      </c>
      <c r="K21" s="5">
        <f t="shared" si="7"/>
        <v>5.4972801494059483E-2</v>
      </c>
      <c r="L21" s="6">
        <f t="shared" si="8"/>
        <v>19.900803047084313</v>
      </c>
      <c r="M21" s="5">
        <f t="shared" si="9"/>
        <v>3.4472127410528783E-2</v>
      </c>
      <c r="N21" s="20">
        <f t="shared" si="10"/>
        <v>1.1398186267324228E-2</v>
      </c>
      <c r="O21" s="19">
        <f t="shared" si="11"/>
        <v>2.124216300253023E-5</v>
      </c>
      <c r="P21" s="21">
        <f t="shared" si="12"/>
        <v>2.7665500648845214E-3</v>
      </c>
      <c r="Q21" s="19">
        <f t="shared" si="13"/>
        <v>6.7346921701535138E-5</v>
      </c>
      <c r="R21" s="20">
        <f t="shared" si="14"/>
        <v>4893421857730.9277</v>
      </c>
      <c r="S21" s="19">
        <f t="shared" si="15"/>
        <v>818712769704.31592</v>
      </c>
      <c r="T21" s="18">
        <f t="shared" si="16"/>
        <v>130.29730794979088</v>
      </c>
      <c r="U21" s="17">
        <f t="shared" si="17"/>
        <v>3.6333153969430709</v>
      </c>
      <c r="V21" s="17">
        <f t="shared" si="18"/>
        <v>3.6333153969430776</v>
      </c>
      <c r="W21" s="66">
        <f t="shared" si="19"/>
        <v>106.48485337031217</v>
      </c>
      <c r="X21" s="5">
        <f t="shared" si="20"/>
        <v>0.27873540713290124</v>
      </c>
    </row>
    <row r="22" spans="1:24">
      <c r="A22" s="23">
        <v>0.875</v>
      </c>
      <c r="B22" s="8">
        <v>4.7725</v>
      </c>
      <c r="C22" s="7">
        <v>1.2671110514341664E-3</v>
      </c>
      <c r="D22" s="6">
        <f t="shared" si="0"/>
        <v>2.479038866455952</v>
      </c>
      <c r="E22" s="5">
        <f t="shared" si="1"/>
        <v>8.5240513914252788E-2</v>
      </c>
      <c r="F22" s="8">
        <f t="shared" si="2"/>
        <v>4.5531669399999997</v>
      </c>
      <c r="G22" s="5">
        <f t="shared" si="3"/>
        <v>1.0999999999999999E-2</v>
      </c>
      <c r="H22" s="21">
        <f t="shared" si="4"/>
        <v>0.2193330600000003</v>
      </c>
      <c r="I22" s="22">
        <f t="shared" si="5"/>
        <v>2.0509526850508709E-4</v>
      </c>
      <c r="J22" s="8">
        <f t="shared" si="6"/>
        <v>22.379841913540265</v>
      </c>
      <c r="K22" s="5">
        <f t="shared" si="7"/>
        <v>5.4972801494059483E-2</v>
      </c>
      <c r="L22" s="6">
        <f t="shared" si="8"/>
        <v>19.900803047084313</v>
      </c>
      <c r="M22" s="5">
        <f t="shared" si="9"/>
        <v>3.4472127410528783E-2</v>
      </c>
      <c r="N22" s="20">
        <f t="shared" si="10"/>
        <v>1.1021317053440968E-2</v>
      </c>
      <c r="O22" s="19">
        <f t="shared" si="11"/>
        <v>2.0539812901892424E-5</v>
      </c>
      <c r="P22" s="21">
        <f t="shared" si="12"/>
        <v>2.6750769547186815E-3</v>
      </c>
      <c r="Q22" s="19">
        <f t="shared" si="13"/>
        <v>6.5120165545437208E-5</v>
      </c>
      <c r="R22" s="20">
        <f t="shared" si="14"/>
        <v>5060750321269.3623</v>
      </c>
      <c r="S22" s="19">
        <f t="shared" si="15"/>
        <v>846708302036.66284</v>
      </c>
      <c r="T22" s="18">
        <f t="shared" si="16"/>
        <v>131.02952054838599</v>
      </c>
      <c r="U22" s="17">
        <f t="shared" si="17"/>
        <v>3.6537330045680649</v>
      </c>
      <c r="V22" s="17">
        <f t="shared" si="18"/>
        <v>3.6537330045680676</v>
      </c>
      <c r="W22" s="66">
        <f t="shared" si="19"/>
        <v>170.87308522945929</v>
      </c>
      <c r="X22" s="5">
        <f t="shared" si="20"/>
        <v>0.44497446066149543</v>
      </c>
    </row>
    <row r="23" spans="1:24">
      <c r="A23" s="23">
        <v>1</v>
      </c>
      <c r="B23" s="8">
        <v>4.75875</v>
      </c>
      <c r="C23" s="7">
        <v>2.3191940185834431E-3</v>
      </c>
      <c r="D23" s="6">
        <f t="shared" si="0"/>
        <v>2.479038866455952</v>
      </c>
      <c r="E23" s="5">
        <f t="shared" si="1"/>
        <v>8.5240513914252788E-2</v>
      </c>
      <c r="F23" s="8">
        <f t="shared" si="2"/>
        <v>4.5531669399999997</v>
      </c>
      <c r="G23" s="5">
        <f t="shared" si="3"/>
        <v>1.0999999999999999E-2</v>
      </c>
      <c r="H23" s="21">
        <f t="shared" si="4"/>
        <v>0.20558306000000037</v>
      </c>
      <c r="I23" s="22">
        <f t="shared" si="5"/>
        <v>2.0526229043310232E-4</v>
      </c>
      <c r="J23" s="8">
        <f t="shared" si="6"/>
        <v>22.379841913540265</v>
      </c>
      <c r="K23" s="5">
        <f t="shared" si="7"/>
        <v>5.4972801494059483E-2</v>
      </c>
      <c r="L23" s="6">
        <f t="shared" si="8"/>
        <v>19.900803047084313</v>
      </c>
      <c r="M23" s="5">
        <f t="shared" si="9"/>
        <v>3.4472127410528783E-2</v>
      </c>
      <c r="N23" s="20">
        <f t="shared" si="10"/>
        <v>1.0330390161321684E-2</v>
      </c>
      <c r="O23" s="19">
        <f t="shared" si="11"/>
        <v>1.9252171050723161E-5</v>
      </c>
      <c r="P23" s="21">
        <f t="shared" si="12"/>
        <v>2.5073762527479814E-3</v>
      </c>
      <c r="Q23" s="19">
        <f t="shared" si="13"/>
        <v>6.1037779259257848E-5</v>
      </c>
      <c r="R23" s="20">
        <f t="shared" si="14"/>
        <v>5399228194482.5215</v>
      </c>
      <c r="S23" s="19">
        <f t="shared" si="15"/>
        <v>903338644794.49536</v>
      </c>
      <c r="T23" s="18">
        <f t="shared" si="16"/>
        <v>132.45101187832427</v>
      </c>
      <c r="U23" s="17">
        <f t="shared" si="17"/>
        <v>3.6933710171790044</v>
      </c>
      <c r="V23" s="17">
        <f t="shared" si="18"/>
        <v>3.6933710171790115</v>
      </c>
      <c r="W23" s="66">
        <f t="shared" si="19"/>
        <v>88.29902215034565</v>
      </c>
      <c r="X23" s="5">
        <f t="shared" si="20"/>
        <v>0.23479858017331814</v>
      </c>
    </row>
    <row r="24" spans="1:24">
      <c r="A24" s="23">
        <v>1.25</v>
      </c>
      <c r="B24" s="8">
        <v>4.7219999999999995</v>
      </c>
      <c r="C24" s="7">
        <v>1.0105160983378898E-2</v>
      </c>
      <c r="D24" s="6">
        <f t="shared" si="0"/>
        <v>2.479038866455952</v>
      </c>
      <c r="E24" s="5">
        <f t="shared" si="1"/>
        <v>8.5240513914252788E-2</v>
      </c>
      <c r="F24" s="8">
        <f t="shared" si="2"/>
        <v>4.5531669399999997</v>
      </c>
      <c r="G24" s="5">
        <f t="shared" si="3"/>
        <v>1.0999999999999999E-2</v>
      </c>
      <c r="H24" s="21">
        <f t="shared" si="4"/>
        <v>0.16883305999999987</v>
      </c>
      <c r="I24" s="22">
        <f t="shared" si="5"/>
        <v>2.0960445028966488E-4</v>
      </c>
      <c r="J24" s="8">
        <f t="shared" si="6"/>
        <v>22.379841913540265</v>
      </c>
      <c r="K24" s="5">
        <f t="shared" si="7"/>
        <v>5.4972801494059483E-2</v>
      </c>
      <c r="L24" s="6">
        <f t="shared" si="8"/>
        <v>19.900803047084313</v>
      </c>
      <c r="M24" s="5">
        <f t="shared" si="9"/>
        <v>3.4472127410528783E-2</v>
      </c>
      <c r="N24" s="20">
        <f t="shared" si="10"/>
        <v>8.4837310132937459E-3</v>
      </c>
      <c r="O24" s="19">
        <f t="shared" si="11"/>
        <v>1.5810655557597975E-5</v>
      </c>
      <c r="P24" s="21">
        <f t="shared" si="12"/>
        <v>2.0591580129353752E-3</v>
      </c>
      <c r="Q24" s="19">
        <f t="shared" si="13"/>
        <v>5.0126674094378245E-5</v>
      </c>
      <c r="R24" s="20">
        <f t="shared" si="14"/>
        <v>6574481643938.6621</v>
      </c>
      <c r="S24" s="19">
        <f t="shared" si="15"/>
        <v>1099968944548.573</v>
      </c>
      <c r="T24" s="18">
        <f t="shared" si="16"/>
        <v>136.87062577384705</v>
      </c>
      <c r="U24" s="17">
        <f t="shared" si="17"/>
        <v>3.816611101474026</v>
      </c>
      <c r="V24" s="17">
        <f t="shared" si="18"/>
        <v>3.8166111014740314</v>
      </c>
      <c r="W24" s="66">
        <f t="shared" si="19"/>
        <v>16.704014148066435</v>
      </c>
      <c r="X24" s="5">
        <f t="shared" si="20"/>
        <v>5.7761955159473903E-2</v>
      </c>
    </row>
    <row r="25" spans="1:24">
      <c r="A25" s="23">
        <v>1.5</v>
      </c>
      <c r="B25" s="8">
        <v>4.7030000000000003</v>
      </c>
      <c r="C25" s="7">
        <v>2.1202823318290059E-3</v>
      </c>
      <c r="D25" s="6">
        <f t="shared" si="0"/>
        <v>2.479038866455952</v>
      </c>
      <c r="E25" s="5">
        <f t="shared" si="1"/>
        <v>8.5240513914252788E-2</v>
      </c>
      <c r="F25" s="8">
        <f t="shared" si="2"/>
        <v>4.5531669399999997</v>
      </c>
      <c r="G25" s="5">
        <f t="shared" si="3"/>
        <v>1.0999999999999999E-2</v>
      </c>
      <c r="H25" s="21">
        <f t="shared" si="4"/>
        <v>0.14983306000000063</v>
      </c>
      <c r="I25" s="22">
        <f t="shared" si="5"/>
        <v>2.0522803010489108E-4</v>
      </c>
      <c r="J25" s="8">
        <f t="shared" si="6"/>
        <v>22.379841913540265</v>
      </c>
      <c r="K25" s="5">
        <f t="shared" si="7"/>
        <v>5.4972801494059483E-2</v>
      </c>
      <c r="L25" s="6">
        <f t="shared" si="8"/>
        <v>19.900803047084313</v>
      </c>
      <c r="M25" s="5">
        <f t="shared" si="9"/>
        <v>3.4472127410528783E-2</v>
      </c>
      <c r="N25" s="20">
        <f t="shared" si="10"/>
        <v>7.5289956714562241E-3</v>
      </c>
      <c r="O25" s="19">
        <f t="shared" si="11"/>
        <v>1.4031368635982329E-5</v>
      </c>
      <c r="P25" s="21">
        <f t="shared" si="12"/>
        <v>1.8274261338485981E-3</v>
      </c>
      <c r="Q25" s="19">
        <f t="shared" si="13"/>
        <v>4.4485558498930593E-5</v>
      </c>
      <c r="R25" s="20">
        <f t="shared" si="14"/>
        <v>7408177166374.292</v>
      </c>
      <c r="S25" s="19">
        <f t="shared" si="15"/>
        <v>1239453581293.1072</v>
      </c>
      <c r="T25" s="18">
        <f t="shared" si="16"/>
        <v>139.62136942946614</v>
      </c>
      <c r="U25" s="17">
        <f t="shared" si="17"/>
        <v>3.8933150597849457</v>
      </c>
      <c r="V25" s="17">
        <f t="shared" si="18"/>
        <v>3.8933150597849409</v>
      </c>
      <c r="W25" s="66">
        <f t="shared" si="19"/>
        <v>70.337836720128095</v>
      </c>
      <c r="X25" s="5">
        <f t="shared" si="20"/>
        <v>0.19789746562323179</v>
      </c>
    </row>
    <row r="26" spans="1:24" ht="13.5" customHeight="1">
      <c r="A26" s="23">
        <v>1.75</v>
      </c>
      <c r="B26" s="8">
        <v>4.6909999999999998</v>
      </c>
      <c r="C26" s="7">
        <v>6.8470910733441316E-3</v>
      </c>
      <c r="D26" s="6">
        <f t="shared" si="0"/>
        <v>2.479038866455952</v>
      </c>
      <c r="E26" s="5">
        <f t="shared" si="1"/>
        <v>8.5240513914252788E-2</v>
      </c>
      <c r="F26" s="8">
        <f t="shared" si="2"/>
        <v>4.5531669399999997</v>
      </c>
      <c r="G26" s="5">
        <f t="shared" si="3"/>
        <v>1.0999999999999999E-2</v>
      </c>
      <c r="H26" s="21">
        <f t="shared" si="4"/>
        <v>0.13783306000000017</v>
      </c>
      <c r="I26" s="22">
        <f t="shared" si="5"/>
        <v>2.0715527592736675E-4</v>
      </c>
      <c r="J26" s="8">
        <f t="shared" si="6"/>
        <v>22.379841913540265</v>
      </c>
      <c r="K26" s="5">
        <f t="shared" si="7"/>
        <v>5.4972801494059483E-2</v>
      </c>
      <c r="L26" s="6">
        <f t="shared" si="8"/>
        <v>19.900803047084313</v>
      </c>
      <c r="M26" s="5">
        <f t="shared" si="9"/>
        <v>3.4472127410528783E-2</v>
      </c>
      <c r="N26" s="20">
        <f t="shared" si="10"/>
        <v>6.926004929243005E-3</v>
      </c>
      <c r="O26" s="19">
        <f t="shared" si="11"/>
        <v>1.2907608474961831E-5</v>
      </c>
      <c r="P26" s="21">
        <f t="shared" si="12"/>
        <v>1.6810691575832536E-3</v>
      </c>
      <c r="Q26" s="19">
        <f t="shared" si="13"/>
        <v>4.0922748649173903E-5</v>
      </c>
      <c r="R26" s="20">
        <f t="shared" si="14"/>
        <v>8053146711391.248</v>
      </c>
      <c r="S26" s="19">
        <f t="shared" si="15"/>
        <v>1347362692325.8147</v>
      </c>
      <c r="T26" s="18">
        <f t="shared" si="16"/>
        <v>141.57750955249335</v>
      </c>
      <c r="U26" s="17">
        <f t="shared" si="17"/>
        <v>3.9478616512641036</v>
      </c>
      <c r="V26" s="17">
        <f t="shared" si="18"/>
        <v>3.9478616512641111</v>
      </c>
      <c r="W26" s="66">
        <f t="shared" si="19"/>
        <v>20.120956494611285</v>
      </c>
      <c r="X26" s="5">
        <f t="shared" si="20"/>
        <v>6.4342762742253243E-2</v>
      </c>
    </row>
    <row r="27" spans="1:24" ht="13.5" customHeight="1">
      <c r="A27" s="23">
        <v>2</v>
      </c>
      <c r="B27" s="8">
        <v>4.6894999999999998</v>
      </c>
      <c r="C27" s="7">
        <v>1.2671110514342787E-3</v>
      </c>
      <c r="D27" s="6">
        <f t="shared" si="0"/>
        <v>2.479038866455952</v>
      </c>
      <c r="E27" s="5">
        <f t="shared" si="1"/>
        <v>8.5240513914252788E-2</v>
      </c>
      <c r="F27" s="8">
        <f t="shared" si="2"/>
        <v>4.5531669399999997</v>
      </c>
      <c r="G27" s="5">
        <f t="shared" si="3"/>
        <v>1.0999999999999999E-2</v>
      </c>
      <c r="H27" s="21">
        <f t="shared" si="4"/>
        <v>0.13633306000000012</v>
      </c>
      <c r="I27" s="22">
        <f t="shared" si="5"/>
        <v>2.0509778586573591E-4</v>
      </c>
      <c r="J27" s="8">
        <f t="shared" si="6"/>
        <v>22.379841913540265</v>
      </c>
      <c r="K27" s="5">
        <f t="shared" si="7"/>
        <v>5.4972801494059483E-2</v>
      </c>
      <c r="L27" s="6">
        <f t="shared" si="8"/>
        <v>19.900803047084313</v>
      </c>
      <c r="M27" s="5">
        <f t="shared" si="9"/>
        <v>3.4472127410528783E-2</v>
      </c>
      <c r="N27" s="20">
        <f t="shared" si="10"/>
        <v>6.8506310864663534E-3</v>
      </c>
      <c r="O27" s="19">
        <f t="shared" si="11"/>
        <v>1.2767138454834271E-5</v>
      </c>
      <c r="P27" s="21">
        <f t="shared" si="12"/>
        <v>1.6627745355500857E-3</v>
      </c>
      <c r="Q27" s="19">
        <f t="shared" si="13"/>
        <v>4.0477397417954318E-5</v>
      </c>
      <c r="R27" s="20">
        <f t="shared" si="14"/>
        <v>8141751192704.0508</v>
      </c>
      <c r="S27" s="19">
        <f t="shared" si="15"/>
        <v>1362187005947.8281</v>
      </c>
      <c r="T27" s="18">
        <f t="shared" si="16"/>
        <v>141.83594429561657</v>
      </c>
      <c r="U27" s="17">
        <f t="shared" si="17"/>
        <v>3.9550680544206296</v>
      </c>
      <c r="V27" s="17">
        <f t="shared" si="18"/>
        <v>3.9550680544206243</v>
      </c>
      <c r="W27" s="66">
        <f t="shared" si="19"/>
        <v>106.2112719398565</v>
      </c>
      <c r="X27" s="5">
        <f t="shared" si="20"/>
        <v>0.30363736186895096</v>
      </c>
    </row>
    <row r="28" spans="1:24" ht="13.5" customHeight="1">
      <c r="A28" s="23">
        <v>4</v>
      </c>
      <c r="B28" s="8">
        <v>4.6387499999999999</v>
      </c>
      <c r="C28" s="7">
        <v>2.0234140857718378E-3</v>
      </c>
      <c r="D28" s="6">
        <f t="shared" si="0"/>
        <v>2.479038866455952</v>
      </c>
      <c r="E28" s="5">
        <f t="shared" si="1"/>
        <v>8.5240513914252788E-2</v>
      </c>
      <c r="F28" s="8">
        <f t="shared" si="2"/>
        <v>4.5531669399999997</v>
      </c>
      <c r="G28" s="5">
        <f t="shared" si="3"/>
        <v>1.0999999999999999E-2</v>
      </c>
      <c r="H28" s="21">
        <f t="shared" si="4"/>
        <v>8.5583060000000266E-2</v>
      </c>
      <c r="I28" s="22">
        <f t="shared" si="5"/>
        <v>2.052150456969331E-4</v>
      </c>
      <c r="J28" s="8">
        <f t="shared" si="6"/>
        <v>22.379841913540265</v>
      </c>
      <c r="K28" s="5">
        <f t="shared" si="7"/>
        <v>5.4972801494059483E-2</v>
      </c>
      <c r="L28" s="6">
        <f t="shared" si="8"/>
        <v>19.900803047084313</v>
      </c>
      <c r="M28" s="5">
        <f t="shared" si="9"/>
        <v>3.4472127410528783E-2</v>
      </c>
      <c r="N28" s="20">
        <f t="shared" si="10"/>
        <v>4.3004827391897194E-3</v>
      </c>
      <c r="O28" s="19">
        <f t="shared" si="11"/>
        <v>8.0145694405186167E-6</v>
      </c>
      <c r="P28" s="21">
        <f t="shared" si="12"/>
        <v>1.0438064900945921E-3</v>
      </c>
      <c r="Q28" s="19">
        <f t="shared" si="13"/>
        <v>2.5409680761692264E-5</v>
      </c>
      <c r="R28" s="20">
        <f t="shared" si="14"/>
        <v>12969737864712.836</v>
      </c>
      <c r="S28" s="19">
        <f t="shared" si="15"/>
        <v>2169951890165.0068</v>
      </c>
      <c r="T28" s="18">
        <f t="shared" si="16"/>
        <v>153.28107341910157</v>
      </c>
      <c r="U28" s="17">
        <f t="shared" si="17"/>
        <v>4.2742132809696143</v>
      </c>
      <c r="V28" s="17">
        <f t="shared" si="18"/>
        <v>4.2742132809696161</v>
      </c>
      <c r="W28" s="66">
        <f t="shared" si="19"/>
        <v>42.080497168488712</v>
      </c>
      <c r="X28" s="5">
        <f t="shared" si="20"/>
        <v>0.14440732988466731</v>
      </c>
    </row>
    <row r="29" spans="1:24" ht="13.5" customHeight="1">
      <c r="A29" s="23">
        <v>5.18</v>
      </c>
      <c r="B29" s="8">
        <v>4.6182499999999997</v>
      </c>
      <c r="C29" s="7">
        <v>4.2688668554039201E-3</v>
      </c>
      <c r="D29" s="6">
        <f t="shared" si="0"/>
        <v>2.479038866455952</v>
      </c>
      <c r="E29" s="5">
        <f t="shared" si="1"/>
        <v>8.5240513914252788E-2</v>
      </c>
      <c r="F29" s="8">
        <f t="shared" si="2"/>
        <v>4.5531669399999997</v>
      </c>
      <c r="G29" s="5">
        <f t="shared" si="3"/>
        <v>1.0999999999999999E-2</v>
      </c>
      <c r="H29" s="21">
        <f t="shared" si="4"/>
        <v>6.5083060000000081E-2</v>
      </c>
      <c r="I29" s="22">
        <f t="shared" si="5"/>
        <v>2.0587919479226274E-4</v>
      </c>
      <c r="J29" s="8">
        <f t="shared" si="6"/>
        <v>22.379841913540265</v>
      </c>
      <c r="K29" s="5">
        <f t="shared" si="7"/>
        <v>5.4972801494059483E-2</v>
      </c>
      <c r="L29" s="6">
        <f t="shared" si="8"/>
        <v>19.900803047084313</v>
      </c>
      <c r="M29" s="5">
        <f t="shared" si="9"/>
        <v>3.4472127410528783E-2</v>
      </c>
      <c r="N29" s="20">
        <f t="shared" si="10"/>
        <v>3.2703735545755006E-3</v>
      </c>
      <c r="O29" s="19">
        <f t="shared" si="11"/>
        <v>6.0948124987753256E-6</v>
      </c>
      <c r="P29" s="21">
        <f t="shared" si="12"/>
        <v>7.9377998897463601E-4</v>
      </c>
      <c r="Q29" s="19">
        <f t="shared" si="13"/>
        <v>1.932321393502476E-5</v>
      </c>
      <c r="R29" s="20">
        <f t="shared" si="14"/>
        <v>17054973350361.715</v>
      </c>
      <c r="S29" s="19">
        <f t="shared" si="15"/>
        <v>2853447929662.5811</v>
      </c>
      <c r="T29" s="18">
        <f t="shared" si="16"/>
        <v>160.43846844216105</v>
      </c>
      <c r="U29" s="17">
        <f t="shared" si="17"/>
        <v>4.4737958659705797</v>
      </c>
      <c r="V29" s="17">
        <f t="shared" si="18"/>
        <v>4.4737958659705788</v>
      </c>
      <c r="W29" s="66">
        <f t="shared" si="19"/>
        <v>15.228280508574448</v>
      </c>
      <c r="X29" s="5">
        <f t="shared" si="20"/>
        <v>6.2226957078755474E-2</v>
      </c>
    </row>
    <row r="30" spans="1:24" ht="13.5" customHeight="1">
      <c r="A30" s="23">
        <v>7</v>
      </c>
      <c r="B30" s="8">
        <v>4.6050000000000004</v>
      </c>
      <c r="C30" s="7">
        <v>3.1037755234551985E-3</v>
      </c>
      <c r="D30" s="6">
        <f t="shared" si="0"/>
        <v>2.479038866455952</v>
      </c>
      <c r="E30" s="5">
        <f t="shared" si="1"/>
        <v>8.5240513914252788E-2</v>
      </c>
      <c r="F30" s="8">
        <f t="shared" si="2"/>
        <v>4.5531669399999997</v>
      </c>
      <c r="G30" s="5">
        <f t="shared" si="3"/>
        <v>1.0999999999999999E-2</v>
      </c>
      <c r="H30" s="21">
        <f t="shared" si="4"/>
        <v>5.1833060000000764E-2</v>
      </c>
      <c r="I30" s="22">
        <f t="shared" si="5"/>
        <v>2.0547905450324936E-4</v>
      </c>
      <c r="J30" s="8">
        <f t="shared" si="6"/>
        <v>22.379841913540265</v>
      </c>
      <c r="K30" s="5">
        <f t="shared" si="7"/>
        <v>5.4972801494059483E-2</v>
      </c>
      <c r="L30" s="6">
        <f t="shared" si="8"/>
        <v>19.900803047084313</v>
      </c>
      <c r="M30" s="5">
        <f t="shared" si="9"/>
        <v>3.4472127410528783E-2</v>
      </c>
      <c r="N30" s="20">
        <f t="shared" si="10"/>
        <v>2.6045712767151312E-3</v>
      </c>
      <c r="O30" s="19">
        <f t="shared" si="11"/>
        <v>4.8539939876486391E-6</v>
      </c>
      <c r="P30" s="21">
        <f t="shared" si="12"/>
        <v>6.3217749434833282E-4</v>
      </c>
      <c r="Q30" s="19">
        <f t="shared" si="13"/>
        <v>1.5389278059252101E-5</v>
      </c>
      <c r="R30" s="20">
        <f t="shared" si="14"/>
        <v>21414708177753.301</v>
      </c>
      <c r="S30" s="19">
        <f t="shared" si="15"/>
        <v>3582870137574.417</v>
      </c>
      <c r="T30" s="18">
        <f t="shared" si="16"/>
        <v>166.64234181350679</v>
      </c>
      <c r="U30" s="17">
        <f t="shared" si="17"/>
        <v>4.6467896829225079</v>
      </c>
      <c r="V30" s="17">
        <f t="shared" si="18"/>
        <v>4.6467896829225097</v>
      </c>
      <c r="W30" s="66">
        <f t="shared" si="19"/>
        <v>16.663526054800567</v>
      </c>
      <c r="X30" s="5">
        <f t="shared" si="20"/>
        <v>7.8169716521120994E-2</v>
      </c>
    </row>
    <row r="31" spans="1:24" ht="13.5" customHeight="1">
      <c r="A31" s="23">
        <v>10</v>
      </c>
      <c r="B31" s="8">
        <v>4.5962500000000004</v>
      </c>
      <c r="C31" s="7">
        <v>4.2688668554042028E-3</v>
      </c>
      <c r="D31" s="6">
        <f t="shared" si="0"/>
        <v>2.479038866455952</v>
      </c>
      <c r="E31" s="5">
        <f t="shared" si="1"/>
        <v>8.5240513914252788E-2</v>
      </c>
      <c r="F31" s="8">
        <f t="shared" si="2"/>
        <v>4.5531669399999997</v>
      </c>
      <c r="G31" s="5">
        <f t="shared" si="3"/>
        <v>1.0999999999999999E-2</v>
      </c>
      <c r="H31" s="21">
        <f t="shared" si="4"/>
        <v>4.3083060000000728E-2</v>
      </c>
      <c r="I31" s="22">
        <f t="shared" si="5"/>
        <v>2.0588739372853242E-4</v>
      </c>
      <c r="J31" s="8">
        <f t="shared" si="6"/>
        <v>22.379841913540265</v>
      </c>
      <c r="K31" s="5">
        <f t="shared" si="7"/>
        <v>5.4972801494059483E-2</v>
      </c>
      <c r="L31" s="6">
        <f t="shared" si="8"/>
        <v>19.900803047084313</v>
      </c>
      <c r="M31" s="5">
        <f t="shared" si="9"/>
        <v>3.4472127410528783E-2</v>
      </c>
      <c r="N31" s="20">
        <f t="shared" si="10"/>
        <v>2.164890527184674E-3</v>
      </c>
      <c r="O31" s="19">
        <f t="shared" si="11"/>
        <v>4.0345855369045553E-6</v>
      </c>
      <c r="P31" s="21">
        <f t="shared" si="12"/>
        <v>5.2545886582152279E-4</v>
      </c>
      <c r="Q31" s="19">
        <f t="shared" si="13"/>
        <v>1.2791395877137935E-5</v>
      </c>
      <c r="R31" s="20">
        <f t="shared" si="14"/>
        <v>25763951164563.871</v>
      </c>
      <c r="S31" s="19">
        <f t="shared" si="15"/>
        <v>4310536967734.0146</v>
      </c>
      <c r="T31" s="18">
        <f t="shared" si="16"/>
        <v>171.85760078840946</v>
      </c>
      <c r="U31" s="17">
        <f t="shared" si="17"/>
        <v>4.7922161773813254</v>
      </c>
      <c r="V31" s="17">
        <f t="shared" si="18"/>
        <v>4.7922161773813299</v>
      </c>
      <c r="W31" s="66">
        <f t="shared" si="19"/>
        <v>10.080670180777098</v>
      </c>
      <c r="X31" s="5">
        <f t="shared" si="20"/>
        <v>5.478599110136019E-2</v>
      </c>
    </row>
    <row r="32" spans="1:24" ht="13.5" customHeight="1">
      <c r="A32" s="23">
        <v>12</v>
      </c>
      <c r="B32" s="8">
        <v>4.5869999999999997</v>
      </c>
      <c r="C32" s="7">
        <v>3.6724367251183749E-3</v>
      </c>
      <c r="D32" s="6">
        <f t="shared" si="0"/>
        <v>2.479038866455952</v>
      </c>
      <c r="E32" s="5">
        <f t="shared" si="1"/>
        <v>8.5240513914252788E-2</v>
      </c>
      <c r="F32" s="8">
        <f t="shared" si="2"/>
        <v>4.5531669399999997</v>
      </c>
      <c r="G32" s="5">
        <f t="shared" si="3"/>
        <v>1.0999999999999999E-2</v>
      </c>
      <c r="H32" s="21">
        <f t="shared" si="4"/>
        <v>3.3833060000000081E-2</v>
      </c>
      <c r="I32" s="22">
        <f t="shared" si="5"/>
        <v>2.0566576675220866E-4</v>
      </c>
      <c r="J32" s="8">
        <f t="shared" si="6"/>
        <v>22.379841913540265</v>
      </c>
      <c r="K32" s="5">
        <f t="shared" si="7"/>
        <v>5.4972801494059483E-2</v>
      </c>
      <c r="L32" s="6">
        <f t="shared" si="8"/>
        <v>19.900803047084313</v>
      </c>
      <c r="M32" s="5">
        <f t="shared" si="9"/>
        <v>3.4472127410528783E-2</v>
      </c>
      <c r="N32" s="20">
        <f t="shared" si="10"/>
        <v>1.7000851633953032E-3</v>
      </c>
      <c r="O32" s="19">
        <f t="shared" si="11"/>
        <v>3.1683537461178957E-6</v>
      </c>
      <c r="P32" s="21">
        <f t="shared" si="12"/>
        <v>4.1264202995031633E-4</v>
      </c>
      <c r="Q32" s="19">
        <f t="shared" si="13"/>
        <v>1.0045063284617067E-5</v>
      </c>
      <c r="R32" s="20">
        <f t="shared" si="14"/>
        <v>32807846936103.066</v>
      </c>
      <c r="S32" s="19">
        <f t="shared" si="15"/>
        <v>5489043048813.9502</v>
      </c>
      <c r="T32" s="18">
        <f t="shared" si="16"/>
        <v>178.92167491300489</v>
      </c>
      <c r="U32" s="17">
        <f t="shared" si="17"/>
        <v>4.989196527059228</v>
      </c>
      <c r="V32" s="17">
        <f t="shared" si="18"/>
        <v>4.9891965270592378</v>
      </c>
      <c r="W32" s="66">
        <f t="shared" si="19"/>
        <v>9.1982876652550427</v>
      </c>
      <c r="X32" s="5">
        <f t="shared" si="20"/>
        <v>6.0617947935958399E-2</v>
      </c>
    </row>
    <row r="33" spans="1:24" ht="13.5" customHeight="1">
      <c r="A33" s="23">
        <v>15</v>
      </c>
      <c r="B33" s="8">
        <v>4.57925</v>
      </c>
      <c r="C33" s="7">
        <v>3.7050812491091264E-3</v>
      </c>
      <c r="D33" s="6">
        <f t="shared" si="0"/>
        <v>2.479038866455952</v>
      </c>
      <c r="E33" s="5">
        <f t="shared" si="1"/>
        <v>8.5240513914252788E-2</v>
      </c>
      <c r="F33" s="8">
        <f t="shared" si="2"/>
        <v>4.5531669399999997</v>
      </c>
      <c r="G33" s="5">
        <f t="shared" si="3"/>
        <v>1.0999999999999999E-2</v>
      </c>
      <c r="H33" s="21">
        <f t="shared" si="4"/>
        <v>2.608306000000038E-2</v>
      </c>
      <c r="I33" s="22">
        <f t="shared" si="5"/>
        <v>2.0567942325635258E-4</v>
      </c>
      <c r="J33" s="8">
        <f t="shared" si="6"/>
        <v>22.379841913540265</v>
      </c>
      <c r="K33" s="5">
        <f t="shared" si="7"/>
        <v>5.4972801494059483E-2</v>
      </c>
      <c r="L33" s="6">
        <f t="shared" si="8"/>
        <v>19.900803047084313</v>
      </c>
      <c r="M33" s="5">
        <f t="shared" si="9"/>
        <v>3.4472127410528783E-2</v>
      </c>
      <c r="N33" s="20">
        <f t="shared" si="10"/>
        <v>1.3106536423826292E-3</v>
      </c>
      <c r="O33" s="19">
        <f t="shared" si="11"/>
        <v>2.4425919754588809E-6</v>
      </c>
      <c r="P33" s="21">
        <f t="shared" si="12"/>
        <v>3.1811981611228865E-4</v>
      </c>
      <c r="Q33" s="19">
        <f t="shared" si="13"/>
        <v>7.7440819233160473E-6</v>
      </c>
      <c r="R33" s="20">
        <f t="shared" si="14"/>
        <v>42555967507645.867</v>
      </c>
      <c r="S33" s="19">
        <f t="shared" si="15"/>
        <v>7119989863654.918</v>
      </c>
      <c r="T33" s="18">
        <f t="shared" si="16"/>
        <v>186.85013305199251</v>
      </c>
      <c r="U33" s="17">
        <f t="shared" si="17"/>
        <v>5.2102800588962985</v>
      </c>
      <c r="V33" s="17">
        <f t="shared" si="18"/>
        <v>5.2102800588963101</v>
      </c>
      <c r="W33" s="66">
        <f t="shared" si="19"/>
        <v>7.0289856550218595</v>
      </c>
      <c r="X33" s="5">
        <f t="shared" si="20"/>
        <v>5.8248713693169619E-2</v>
      </c>
    </row>
    <row r="34" spans="1:24" ht="13.5" customHeight="1">
      <c r="A34" s="23">
        <v>20</v>
      </c>
      <c r="B34" s="8">
        <v>4.5772499999999994</v>
      </c>
      <c r="C34" s="7">
        <v>2.3191940185834101E-3</v>
      </c>
      <c r="D34" s="6">
        <f t="shared" si="0"/>
        <v>2.479038866455952</v>
      </c>
      <c r="E34" s="5">
        <f t="shared" si="1"/>
        <v>8.5240513914252788E-2</v>
      </c>
      <c r="F34" s="8">
        <f t="shared" si="2"/>
        <v>4.5531669399999997</v>
      </c>
      <c r="G34" s="5">
        <f t="shared" si="3"/>
        <v>1.0999999999999999E-2</v>
      </c>
      <c r="H34" s="21">
        <f t="shared" si="4"/>
        <v>2.4083059999999712E-2</v>
      </c>
      <c r="I34" s="22">
        <f t="shared" si="5"/>
        <v>2.0528149995653367E-4</v>
      </c>
      <c r="J34" s="8">
        <f t="shared" si="6"/>
        <v>22.379841913540265</v>
      </c>
      <c r="K34" s="5">
        <f t="shared" si="7"/>
        <v>5.4972801494059483E-2</v>
      </c>
      <c r="L34" s="6">
        <f t="shared" si="8"/>
        <v>19.900803047084313</v>
      </c>
      <c r="M34" s="5">
        <f t="shared" si="9"/>
        <v>3.4472127410528783E-2</v>
      </c>
      <c r="N34" s="20">
        <f t="shared" si="10"/>
        <v>1.2101551853470629E-3</v>
      </c>
      <c r="O34" s="19">
        <f t="shared" si="11"/>
        <v>2.2552986152887425E-6</v>
      </c>
      <c r="P34" s="21">
        <f t="shared" si="12"/>
        <v>2.93726986734724E-4</v>
      </c>
      <c r="Q34" s="19">
        <f t="shared" si="13"/>
        <v>7.1502802816897558E-6</v>
      </c>
      <c r="R34" s="20">
        <f t="shared" si="14"/>
        <v>46090067203254.375</v>
      </c>
      <c r="S34" s="19">
        <f t="shared" si="15"/>
        <v>7711276009489.9902</v>
      </c>
      <c r="T34" s="18">
        <f t="shared" si="16"/>
        <v>189.35112520500755</v>
      </c>
      <c r="U34" s="17">
        <f t="shared" si="17"/>
        <v>5.2800197445441848</v>
      </c>
      <c r="V34" s="17">
        <f t="shared" si="18"/>
        <v>5.2800197445441892</v>
      </c>
      <c r="W34" s="66">
        <f t="shared" si="19"/>
        <v>10.34379535712041</v>
      </c>
      <c r="X34" s="5">
        <f t="shared" si="20"/>
        <v>9.179213847203592E-2</v>
      </c>
    </row>
    <row r="35" spans="1:24" ht="13.5" customHeight="1">
      <c r="A35" s="23">
        <v>30</v>
      </c>
      <c r="B35" s="8">
        <v>4.5715000000000003</v>
      </c>
      <c r="C35" s="7">
        <v>3.0516075135353601E-3</v>
      </c>
      <c r="D35" s="6">
        <f t="shared" si="0"/>
        <v>2.479038866455952</v>
      </c>
      <c r="E35" s="5">
        <f t="shared" si="1"/>
        <v>8.5240513914252788E-2</v>
      </c>
      <c r="F35" s="8">
        <f t="shared" si="2"/>
        <v>4.5531669399999997</v>
      </c>
      <c r="G35" s="5">
        <f t="shared" si="3"/>
        <v>1.0999999999999999E-2</v>
      </c>
      <c r="H35" s="21">
        <f t="shared" si="4"/>
        <v>1.8333060000000678E-2</v>
      </c>
      <c r="I35" s="22">
        <f t="shared" si="5"/>
        <v>2.0547037146967267E-4</v>
      </c>
      <c r="J35" s="8">
        <f t="shared" si="6"/>
        <v>22.379841913540265</v>
      </c>
      <c r="K35" s="5">
        <f t="shared" si="7"/>
        <v>5.4972801494059483E-2</v>
      </c>
      <c r="L35" s="6">
        <f t="shared" si="8"/>
        <v>19.900803047084313</v>
      </c>
      <c r="M35" s="5">
        <f t="shared" si="9"/>
        <v>3.4472127410528783E-2</v>
      </c>
      <c r="N35" s="20">
        <f t="shared" si="10"/>
        <v>9.2122212136995518E-4</v>
      </c>
      <c r="O35" s="19">
        <f t="shared" si="11"/>
        <v>1.7168302047998662E-6</v>
      </c>
      <c r="P35" s="21">
        <f t="shared" si="12"/>
        <v>2.2359760227426095E-4</v>
      </c>
      <c r="Q35" s="19">
        <f t="shared" si="13"/>
        <v>5.4431005620150269E-6</v>
      </c>
      <c r="R35" s="20">
        <f t="shared" si="14"/>
        <v>60545803802526.844</v>
      </c>
      <c r="S35" s="19">
        <f t="shared" si="15"/>
        <v>10129848634821.404</v>
      </c>
      <c r="T35" s="18">
        <f t="shared" si="16"/>
        <v>198.15909411619029</v>
      </c>
      <c r="U35" s="17">
        <f t="shared" si="17"/>
        <v>5.5256282652753201</v>
      </c>
      <c r="V35" s="17">
        <f t="shared" si="18"/>
        <v>5.5256282652753166</v>
      </c>
      <c r="W35" s="66">
        <f t="shared" si="19"/>
        <v>5.9941009823110987</v>
      </c>
      <c r="X35" s="5">
        <f t="shared" si="20"/>
        <v>6.8839166197237733E-2</v>
      </c>
    </row>
    <row r="36" spans="1:24" ht="13.5" customHeight="1">
      <c r="A36" s="23">
        <v>40</v>
      </c>
      <c r="B36" s="8">
        <v>4.5709999999999997</v>
      </c>
      <c r="C36" s="7">
        <v>2.8894577634337696E-3</v>
      </c>
      <c r="D36" s="6">
        <f t="shared" si="0"/>
        <v>2.479038866455952</v>
      </c>
      <c r="E36" s="5">
        <f t="shared" si="1"/>
        <v>8.5240513914252788E-2</v>
      </c>
      <c r="F36" s="8">
        <f t="shared" si="2"/>
        <v>4.5531669399999997</v>
      </c>
      <c r="G36" s="5">
        <f t="shared" si="3"/>
        <v>1.0999999999999999E-2</v>
      </c>
      <c r="H36" s="21">
        <f t="shared" si="4"/>
        <v>1.7833060000000067E-2</v>
      </c>
      <c r="I36" s="22">
        <f t="shared" si="5"/>
        <v>2.0542436288158966E-4</v>
      </c>
      <c r="J36" s="8">
        <f t="shared" si="6"/>
        <v>22.379841913540265</v>
      </c>
      <c r="K36" s="5">
        <f t="shared" si="7"/>
        <v>5.4972801494059483E-2</v>
      </c>
      <c r="L36" s="6">
        <f t="shared" si="8"/>
        <v>19.900803047084313</v>
      </c>
      <c r="M36" s="5">
        <f t="shared" si="9"/>
        <v>3.4472127410528783E-2</v>
      </c>
      <c r="N36" s="20">
        <f t="shared" si="10"/>
        <v>8.9609750711104131E-4</v>
      </c>
      <c r="O36" s="19">
        <f t="shared" si="11"/>
        <v>1.67000686475729E-6</v>
      </c>
      <c r="P36" s="21">
        <f t="shared" si="12"/>
        <v>2.1749939492986438E-4</v>
      </c>
      <c r="Q36" s="19">
        <f t="shared" si="13"/>
        <v>5.2946501516083226E-6</v>
      </c>
      <c r="R36" s="20">
        <f t="shared" si="14"/>
        <v>62243375722393.672</v>
      </c>
      <c r="S36" s="19">
        <f t="shared" si="15"/>
        <v>10413867435712.383</v>
      </c>
      <c r="T36" s="18">
        <f t="shared" si="16"/>
        <v>199.07444931458068</v>
      </c>
      <c r="U36" s="17">
        <f t="shared" si="17"/>
        <v>5.5511527691067011</v>
      </c>
      <c r="V36" s="17">
        <f t="shared" si="18"/>
        <v>5.5511527691067011</v>
      </c>
      <c r="W36" s="66">
        <f t="shared" si="19"/>
        <v>6.1562285071650251</v>
      </c>
      <c r="X36" s="5">
        <f t="shared" si="20"/>
        <v>7.2562697602684245E-2</v>
      </c>
    </row>
    <row r="37" spans="1:24" ht="13.5" customHeight="1">
      <c r="A37" s="23">
        <v>100</v>
      </c>
      <c r="B37" s="8">
        <v>4.5557142857142852</v>
      </c>
      <c r="C37" s="7">
        <v>3.0000000000000001E-3</v>
      </c>
      <c r="D37" s="6">
        <f t="shared" si="0"/>
        <v>2.479038866455952</v>
      </c>
      <c r="E37" s="5">
        <f t="shared" si="1"/>
        <v>8.5240513914252788E-2</v>
      </c>
      <c r="F37" s="8">
        <f t="shared" si="2"/>
        <v>4.5531669399999997</v>
      </c>
      <c r="G37" s="5">
        <f t="shared" si="3"/>
        <v>1.0999999999999999E-2</v>
      </c>
      <c r="H37" s="21">
        <f t="shared" si="4"/>
        <v>2.5473457142854983E-3</v>
      </c>
      <c r="I37" s="22">
        <f t="shared" si="5"/>
        <v>2.0545841710130141E-4</v>
      </c>
      <c r="J37" s="8">
        <f t="shared" si="6"/>
        <v>22.379841913540265</v>
      </c>
      <c r="K37" s="5">
        <f t="shared" si="7"/>
        <v>5.4972801494059483E-2</v>
      </c>
      <c r="L37" s="6">
        <f t="shared" si="8"/>
        <v>19.900803047084313</v>
      </c>
      <c r="M37" s="5">
        <f t="shared" si="9"/>
        <v>3.4472127410528783E-2</v>
      </c>
      <c r="N37" s="20">
        <f t="shared" si="10"/>
        <v>1.2800215691088467E-4</v>
      </c>
      <c r="O37" s="19">
        <f t="shared" si="11"/>
        <v>2.385504691716861E-7</v>
      </c>
      <c r="P37" s="21">
        <f t="shared" si="12"/>
        <v>3.1068484687107928E-5</v>
      </c>
      <c r="Q37" s="19">
        <f t="shared" si="13"/>
        <v>7.5630903346595993E-7</v>
      </c>
      <c r="R37" s="20">
        <f t="shared" si="14"/>
        <v>435743702802167</v>
      </c>
      <c r="S37" s="19">
        <f t="shared" si="15"/>
        <v>72903776574824.141</v>
      </c>
      <c r="T37" s="18">
        <f t="shared" si="16"/>
        <v>275.3416136354785</v>
      </c>
      <c r="U37" s="17">
        <f t="shared" si="17"/>
        <v>7.6778479922734411</v>
      </c>
      <c r="V37" s="17">
        <f t="shared" si="18"/>
        <v>7.6778479922734402</v>
      </c>
      <c r="W37" s="66">
        <f t="shared" si="19"/>
        <v>0.84713089148025222</v>
      </c>
      <c r="X37" s="5">
        <f t="shared" si="20"/>
        <v>6.8359010005059506E-2</v>
      </c>
    </row>
    <row r="38" spans="1:24">
      <c r="B38" s="15">
        <f>B18-B37</f>
        <v>0.35916182539682495</v>
      </c>
    </row>
    <row r="39" spans="1:24">
      <c r="A39" s="13" t="s">
        <v>3</v>
      </c>
      <c r="B39" s="13" t="s">
        <v>2</v>
      </c>
      <c r="C39" s="13" t="s">
        <v>1</v>
      </c>
      <c r="D39" s="24" t="s">
        <v>100</v>
      </c>
      <c r="E39" s="112" t="s">
        <v>29</v>
      </c>
      <c r="F39" s="116" t="s">
        <v>104</v>
      </c>
      <c r="G39" s="12" t="s">
        <v>29</v>
      </c>
      <c r="I39" s="90" t="s">
        <v>102</v>
      </c>
      <c r="J39" s="90" t="s">
        <v>86</v>
      </c>
      <c r="K39" s="90" t="s">
        <v>87</v>
      </c>
      <c r="L39" s="90" t="s">
        <v>88</v>
      </c>
      <c r="M39" s="90" t="s">
        <v>89</v>
      </c>
      <c r="N39" s="92"/>
      <c r="O39" s="93"/>
      <c r="P39" s="94" t="s">
        <v>103</v>
      </c>
      <c r="Q39" s="94" t="s">
        <v>86</v>
      </c>
      <c r="R39" s="94" t="s">
        <v>87</v>
      </c>
      <c r="S39" s="94" t="s">
        <v>88</v>
      </c>
      <c r="T39" s="94" t="s">
        <v>90</v>
      </c>
      <c r="U39" s="96"/>
      <c r="V39" s="97"/>
    </row>
    <row r="40" spans="1:24">
      <c r="A40" s="10">
        <v>0</v>
      </c>
      <c r="B40" s="9">
        <f t="shared" ref="B40:B59" si="21">A40+1</f>
        <v>1</v>
      </c>
      <c r="C40" s="6">
        <f t="shared" ref="C40:C59" si="22">A40/B40</f>
        <v>0</v>
      </c>
      <c r="D40" s="8">
        <v>4.9148761111111101</v>
      </c>
      <c r="E40" s="11">
        <v>3.2472167694809047E-2</v>
      </c>
      <c r="F40" s="6">
        <f t="shared" ref="F40:F59" si="23">B40*D40</f>
        <v>4.9148761111111101</v>
      </c>
      <c r="G40" s="5">
        <f t="shared" ref="G40:G59" si="24">F40*((E40/D40)^2+0)^(1/2)</f>
        <v>3.2472167694809047E-2</v>
      </c>
      <c r="I40" s="91"/>
      <c r="J40" s="91">
        <f t="shared" ref="J40:J59" si="25">D40*C40</f>
        <v>0</v>
      </c>
      <c r="K40" s="98">
        <f t="shared" ref="K40:K59" si="26">C40^2</f>
        <v>0</v>
      </c>
      <c r="L40" s="98">
        <f t="shared" ref="L40:L59" si="27">$O$43*C40+$O$44</f>
        <v>4.9398367983743876</v>
      </c>
      <c r="M40" s="99">
        <f t="shared" ref="M40:M59" si="28">(D40-L40)^2</f>
        <v>6.2303590865514318E-4</v>
      </c>
      <c r="N40" s="90" t="s">
        <v>91</v>
      </c>
      <c r="O40" s="90">
        <v>20</v>
      </c>
      <c r="P40" s="95"/>
      <c r="Q40" s="95">
        <f t="shared" ref="Q40:Q59" si="29">F40*A40</f>
        <v>0</v>
      </c>
      <c r="R40" s="108">
        <f t="shared" ref="R40:R59" si="30">A40^2</f>
        <v>0</v>
      </c>
      <c r="S40" s="100">
        <f t="shared" ref="S40:S59" si="31">$V$43*A40+$V$44</f>
        <v>4.9811148078240466</v>
      </c>
      <c r="T40" s="101">
        <f t="shared" ref="T40:T59" si="32">(F40-S40)^2</f>
        <v>4.3875649422283813E-3</v>
      </c>
      <c r="U40" s="94" t="s">
        <v>91</v>
      </c>
      <c r="V40" s="94">
        <v>20</v>
      </c>
    </row>
    <row r="41" spans="1:24">
      <c r="A41" s="10">
        <v>0.25</v>
      </c>
      <c r="B41" s="9">
        <f t="shared" si="21"/>
        <v>1.25</v>
      </c>
      <c r="C41" s="6">
        <f t="shared" si="22"/>
        <v>0.2</v>
      </c>
      <c r="D41" s="8">
        <v>4.8860000000000001</v>
      </c>
      <c r="E41" s="11">
        <v>6.0000000000000001E-3</v>
      </c>
      <c r="F41" s="6">
        <f t="shared" si="23"/>
        <v>6.1074999999999999</v>
      </c>
      <c r="G41" s="5">
        <f t="shared" si="24"/>
        <v>7.4999999999999997E-3</v>
      </c>
      <c r="I41" s="91"/>
      <c r="J41" s="98">
        <f t="shared" si="25"/>
        <v>0.97720000000000007</v>
      </c>
      <c r="K41" s="98">
        <f t="shared" si="26"/>
        <v>4.0000000000000008E-2</v>
      </c>
      <c r="L41" s="98">
        <f t="shared" si="27"/>
        <v>4.8636608643702557</v>
      </c>
      <c r="M41" s="99">
        <f t="shared" si="28"/>
        <v>4.9903698068411726E-4</v>
      </c>
      <c r="N41" s="90" t="s">
        <v>92</v>
      </c>
      <c r="O41" s="102">
        <f>O40*J60-C60*D60</f>
        <v>-11.988820045324474</v>
      </c>
      <c r="P41" s="95"/>
      <c r="Q41" s="95">
        <f t="shared" si="29"/>
        <v>1.526875</v>
      </c>
      <c r="R41" s="108">
        <f t="shared" si="30"/>
        <v>6.25E-2</v>
      </c>
      <c r="S41" s="100">
        <f t="shared" si="31"/>
        <v>6.1194196677475539</v>
      </c>
      <c r="T41" s="101">
        <f t="shared" si="32"/>
        <v>1.420784792120774E-4</v>
      </c>
      <c r="U41" s="94" t="s">
        <v>92</v>
      </c>
      <c r="V41" s="103">
        <f>V40*Q60-A60*F60</f>
        <v>935459.51430678647</v>
      </c>
    </row>
    <row r="42" spans="1:24">
      <c r="A42" s="10">
        <v>0.5</v>
      </c>
      <c r="B42" s="9">
        <f t="shared" si="21"/>
        <v>1.5</v>
      </c>
      <c r="C42" s="6">
        <f t="shared" si="22"/>
        <v>0.33333333333333331</v>
      </c>
      <c r="D42" s="8">
        <v>4.8159999999999998</v>
      </c>
      <c r="E42" s="11">
        <v>6.0000000000000001E-3</v>
      </c>
      <c r="F42" s="6">
        <f t="shared" si="23"/>
        <v>7.2240000000000002</v>
      </c>
      <c r="G42" s="5">
        <f t="shared" si="24"/>
        <v>9.0000000000000011E-3</v>
      </c>
      <c r="I42" s="91"/>
      <c r="J42" s="98">
        <f t="shared" si="25"/>
        <v>1.6053333333333333</v>
      </c>
      <c r="K42" s="98">
        <f t="shared" si="26"/>
        <v>0.1111111111111111</v>
      </c>
      <c r="L42" s="98">
        <f t="shared" si="27"/>
        <v>4.8128769083675005</v>
      </c>
      <c r="M42" s="99">
        <f t="shared" si="28"/>
        <v>9.7537013449874737E-6</v>
      </c>
      <c r="N42" s="90" t="s">
        <v>93</v>
      </c>
      <c r="O42" s="102">
        <f>O40*K60-C60^2</f>
        <v>31.476660449412094</v>
      </c>
      <c r="P42" s="95"/>
      <c r="Q42" s="95">
        <f t="shared" si="29"/>
        <v>3.6120000000000001</v>
      </c>
      <c r="R42" s="108">
        <f t="shared" si="30"/>
        <v>0.25</v>
      </c>
      <c r="S42" s="100">
        <f t="shared" si="31"/>
        <v>7.257724527671062</v>
      </c>
      <c r="T42" s="101">
        <f t="shared" si="32"/>
        <v>1.1373437666362144E-3</v>
      </c>
      <c r="U42" s="94" t="s">
        <v>93</v>
      </c>
      <c r="V42" s="103">
        <f>V40*R60-A60^2</f>
        <v>205450.12747499999</v>
      </c>
    </row>
    <row r="43" spans="1:24">
      <c r="A43" s="10">
        <v>0.75</v>
      </c>
      <c r="B43" s="9">
        <f t="shared" si="21"/>
        <v>1.75</v>
      </c>
      <c r="C43" s="6">
        <f t="shared" si="22"/>
        <v>0.42857142857142855</v>
      </c>
      <c r="D43" s="8">
        <v>4.78</v>
      </c>
      <c r="E43" s="11">
        <v>2.1202823318294097E-3</v>
      </c>
      <c r="F43" s="6">
        <f t="shared" si="23"/>
        <v>8.3650000000000002</v>
      </c>
      <c r="G43" s="5">
        <f t="shared" si="24"/>
        <v>3.7104940807014667E-3</v>
      </c>
      <c r="I43" s="91"/>
      <c r="J43" s="98">
        <f t="shared" si="25"/>
        <v>2.0485714285714285</v>
      </c>
      <c r="K43" s="98">
        <f t="shared" si="26"/>
        <v>0.18367346938775508</v>
      </c>
      <c r="L43" s="98">
        <f t="shared" si="27"/>
        <v>4.7766026540798183</v>
      </c>
      <c r="M43" s="99">
        <f t="shared" si="28"/>
        <v>1.1541959301376783E-5</v>
      </c>
      <c r="N43" s="90" t="s">
        <v>94</v>
      </c>
      <c r="O43" s="102">
        <f>O41/O42</f>
        <v>-0.38087967002066114</v>
      </c>
      <c r="P43" s="95"/>
      <c r="Q43" s="95">
        <f t="shared" si="29"/>
        <v>6.2737499999999997</v>
      </c>
      <c r="R43" s="108">
        <f t="shared" si="30"/>
        <v>0.5625</v>
      </c>
      <c r="S43" s="100">
        <f t="shared" si="31"/>
        <v>8.3960293875945702</v>
      </c>
      <c r="T43" s="101">
        <f t="shared" si="32"/>
        <v>9.6282289449405262E-4</v>
      </c>
      <c r="U43" s="94" t="s">
        <v>94</v>
      </c>
      <c r="V43" s="104">
        <f>V41/V42</f>
        <v>4.55321943969403</v>
      </c>
    </row>
    <row r="44" spans="1:24">
      <c r="A44" s="10">
        <v>0.875</v>
      </c>
      <c r="B44" s="9">
        <f t="shared" si="21"/>
        <v>1.875</v>
      </c>
      <c r="C44" s="6">
        <f t="shared" si="22"/>
        <v>0.46666666666666667</v>
      </c>
      <c r="D44" s="8">
        <v>4.7725</v>
      </c>
      <c r="E44" s="11">
        <v>1.2671110514341664E-3</v>
      </c>
      <c r="F44" s="6">
        <f t="shared" si="23"/>
        <v>8.9484375000000007</v>
      </c>
      <c r="G44" s="5">
        <f t="shared" si="24"/>
        <v>2.3758332214390623E-3</v>
      </c>
      <c r="I44" s="91"/>
      <c r="J44" s="98">
        <f t="shared" si="25"/>
        <v>2.2271666666666667</v>
      </c>
      <c r="K44" s="98">
        <f t="shared" si="26"/>
        <v>0.21777777777777779</v>
      </c>
      <c r="L44" s="98">
        <f t="shared" si="27"/>
        <v>4.7620929523647462</v>
      </c>
      <c r="M44" s="99">
        <f t="shared" si="28"/>
        <v>1.0830664048244164E-4</v>
      </c>
      <c r="N44" s="90" t="s">
        <v>95</v>
      </c>
      <c r="O44" s="102">
        <f>((K60*D60)-(C60*J60))/O42</f>
        <v>4.9398367983743876</v>
      </c>
      <c r="P44" s="95"/>
      <c r="Q44" s="95">
        <f t="shared" si="29"/>
        <v>7.8298828125000011</v>
      </c>
      <c r="R44" s="108">
        <f t="shared" si="30"/>
        <v>0.765625</v>
      </c>
      <c r="S44" s="100">
        <f t="shared" si="31"/>
        <v>8.9651818175563225</v>
      </c>
      <c r="T44" s="101">
        <f t="shared" si="32"/>
        <v>2.8037217042694559E-4</v>
      </c>
      <c r="U44" s="94" t="s">
        <v>95</v>
      </c>
      <c r="V44" s="104">
        <f>((R60*F60)-(A60*Q60))/V42</f>
        <v>4.9811148078240466</v>
      </c>
    </row>
    <row r="45" spans="1:24">
      <c r="A45" s="10">
        <v>1</v>
      </c>
      <c r="B45" s="9">
        <f t="shared" si="21"/>
        <v>2</v>
      </c>
      <c r="C45" s="6">
        <f t="shared" si="22"/>
        <v>0.5</v>
      </c>
      <c r="D45" s="8">
        <v>4.75875</v>
      </c>
      <c r="E45" s="11">
        <v>2.3191940185834431E-3</v>
      </c>
      <c r="F45" s="6">
        <f t="shared" si="23"/>
        <v>9.5175000000000001</v>
      </c>
      <c r="G45" s="5">
        <f t="shared" si="24"/>
        <v>4.6383880371668861E-3</v>
      </c>
      <c r="I45" s="91"/>
      <c r="J45" s="98">
        <f t="shared" si="25"/>
        <v>2.379375</v>
      </c>
      <c r="K45" s="98">
        <f t="shared" si="26"/>
        <v>0.25</v>
      </c>
      <c r="L45" s="98">
        <f t="shared" si="27"/>
        <v>4.7493969633640569</v>
      </c>
      <c r="M45" s="99">
        <f t="shared" si="28"/>
        <v>8.7479294313294053E-5</v>
      </c>
      <c r="N45" s="114" t="s">
        <v>0</v>
      </c>
      <c r="O45" s="102">
        <f>(M60/(O40-2))^0.5</f>
        <v>9.4296944343653898E-3</v>
      </c>
      <c r="P45" s="95"/>
      <c r="Q45" s="95">
        <f t="shared" si="29"/>
        <v>9.5175000000000001</v>
      </c>
      <c r="R45" s="108">
        <f t="shared" si="30"/>
        <v>1</v>
      </c>
      <c r="S45" s="100">
        <f t="shared" si="31"/>
        <v>9.5343342475180766</v>
      </c>
      <c r="T45" s="101">
        <f t="shared" si="32"/>
        <v>2.8339188949986463E-4</v>
      </c>
      <c r="U45" s="115" t="s">
        <v>0</v>
      </c>
      <c r="V45" s="104">
        <f>(T60/(V40-2))^0.5</f>
        <v>9.5766980071054233E-2</v>
      </c>
    </row>
    <row r="46" spans="1:24">
      <c r="A46" s="10">
        <v>1.25</v>
      </c>
      <c r="B46" s="9">
        <f t="shared" si="21"/>
        <v>2.25</v>
      </c>
      <c r="C46" s="6">
        <f t="shared" si="22"/>
        <v>0.55555555555555558</v>
      </c>
      <c r="D46" s="8">
        <v>4.7219999999999995</v>
      </c>
      <c r="E46" s="11">
        <v>1.0105160983378898E-2</v>
      </c>
      <c r="F46" s="6">
        <f t="shared" si="23"/>
        <v>10.624499999999999</v>
      </c>
      <c r="G46" s="5">
        <f t="shared" si="24"/>
        <v>2.2736612212602522E-2</v>
      </c>
      <c r="I46" s="91"/>
      <c r="J46" s="98">
        <f t="shared" si="25"/>
        <v>2.6233333333333331</v>
      </c>
      <c r="K46" s="98">
        <f t="shared" si="26"/>
        <v>0.30864197530864201</v>
      </c>
      <c r="L46" s="98">
        <f t="shared" si="27"/>
        <v>4.7282369816962424</v>
      </c>
      <c r="M46" s="99">
        <f t="shared" si="28"/>
        <v>3.8899940679268605E-5</v>
      </c>
      <c r="N46" s="90" t="s">
        <v>96</v>
      </c>
      <c r="O46" s="102">
        <f>(O40*K60-C60^2)</f>
        <v>31.476660449412094</v>
      </c>
      <c r="P46" s="95"/>
      <c r="Q46" s="95">
        <f t="shared" si="29"/>
        <v>13.280624999999999</v>
      </c>
      <c r="R46" s="108">
        <f t="shared" si="30"/>
        <v>1.5625</v>
      </c>
      <c r="S46" s="100">
        <f t="shared" si="31"/>
        <v>10.672639107441583</v>
      </c>
      <c r="T46" s="101">
        <f t="shared" si="32"/>
        <v>2.3173736652723257E-3</v>
      </c>
      <c r="U46" s="94" t="s">
        <v>96</v>
      </c>
      <c r="V46" s="105">
        <f>(V40*R60-A60^2)</f>
        <v>205450.12747499999</v>
      </c>
    </row>
    <row r="47" spans="1:24" ht="13.5" customHeight="1">
      <c r="A47" s="10">
        <v>1.5</v>
      </c>
      <c r="B47" s="9">
        <f t="shared" si="21"/>
        <v>2.5</v>
      </c>
      <c r="C47" s="6">
        <f t="shared" si="22"/>
        <v>0.6</v>
      </c>
      <c r="D47" s="8">
        <v>4.7030000000000003</v>
      </c>
      <c r="E47" s="11">
        <v>2.1202823318290059E-3</v>
      </c>
      <c r="F47" s="6">
        <f t="shared" si="23"/>
        <v>11.7575</v>
      </c>
      <c r="G47" s="5">
        <f t="shared" si="24"/>
        <v>5.300705829572515E-3</v>
      </c>
      <c r="I47" s="91"/>
      <c r="J47" s="98">
        <f t="shared" si="25"/>
        <v>2.8218000000000001</v>
      </c>
      <c r="K47" s="98">
        <f t="shared" si="26"/>
        <v>0.36</v>
      </c>
      <c r="L47" s="98">
        <f t="shared" si="27"/>
        <v>4.711308996361991</v>
      </c>
      <c r="M47" s="99">
        <f t="shared" si="28"/>
        <v>6.9039420543574236E-5</v>
      </c>
      <c r="N47" s="90" t="s">
        <v>97</v>
      </c>
      <c r="O47" s="102">
        <f>O45*(O40/O46)^0.5</f>
        <v>7.5165455403651332E-3</v>
      </c>
      <c r="P47" s="95"/>
      <c r="Q47" s="95">
        <f t="shared" si="29"/>
        <v>17.63625</v>
      </c>
      <c r="R47" s="108">
        <f t="shared" si="30"/>
        <v>2.25</v>
      </c>
      <c r="S47" s="100">
        <f t="shared" si="31"/>
        <v>11.810943967365091</v>
      </c>
      <c r="T47" s="101">
        <f t="shared" si="32"/>
        <v>2.8562576477208935E-3</v>
      </c>
      <c r="U47" s="94" t="s">
        <v>97</v>
      </c>
      <c r="V47" s="104">
        <f>V45*(V40/V46)^0.5</f>
        <v>9.4488201539456342E-4</v>
      </c>
    </row>
    <row r="48" spans="1:24" ht="13.5" customHeight="1">
      <c r="A48" s="10">
        <v>1.75</v>
      </c>
      <c r="B48" s="9">
        <f t="shared" si="21"/>
        <v>2.75</v>
      </c>
      <c r="C48" s="6">
        <f t="shared" si="22"/>
        <v>0.63636363636363635</v>
      </c>
      <c r="D48" s="8">
        <v>4.6909999999999998</v>
      </c>
      <c r="E48" s="11">
        <v>6.8470910733441316E-3</v>
      </c>
      <c r="F48" s="6">
        <f t="shared" si="23"/>
        <v>12.90025</v>
      </c>
      <c r="G48" s="5">
        <f t="shared" si="24"/>
        <v>1.8829500451696363E-2</v>
      </c>
      <c r="I48" s="91"/>
      <c r="J48" s="98">
        <f t="shared" si="25"/>
        <v>2.9851818181818182</v>
      </c>
      <c r="K48" s="98">
        <f t="shared" si="26"/>
        <v>0.4049586776859504</v>
      </c>
      <c r="L48" s="98">
        <f t="shared" si="27"/>
        <v>4.6974588265430581</v>
      </c>
      <c r="M48" s="99">
        <f t="shared" si="28"/>
        <v>4.1716440313314345E-5</v>
      </c>
      <c r="N48" s="90" t="s">
        <v>98</v>
      </c>
      <c r="O48" s="102">
        <f>O45*(K60/O46)^0.5</f>
        <v>5.5137535133217876E-3</v>
      </c>
      <c r="P48" s="95"/>
      <c r="Q48" s="95">
        <f t="shared" si="29"/>
        <v>22.5754375</v>
      </c>
      <c r="R48" s="108">
        <f t="shared" si="30"/>
        <v>3.0625</v>
      </c>
      <c r="S48" s="100">
        <f t="shared" si="31"/>
        <v>12.949248827288599</v>
      </c>
      <c r="T48" s="101">
        <f t="shared" si="32"/>
        <v>2.400885075658003E-3</v>
      </c>
      <c r="U48" s="94" t="s">
        <v>98</v>
      </c>
      <c r="V48" s="104">
        <f>V45*(R60/V46)^0.5</f>
        <v>2.4525420664631713E-2</v>
      </c>
    </row>
    <row r="49" spans="1:25" ht="13.5" customHeight="1">
      <c r="A49" s="10">
        <v>2</v>
      </c>
      <c r="B49" s="9">
        <f t="shared" si="21"/>
        <v>3</v>
      </c>
      <c r="C49" s="6">
        <f t="shared" si="22"/>
        <v>0.66666666666666663</v>
      </c>
      <c r="D49" s="8">
        <v>4.6894999999999998</v>
      </c>
      <c r="E49" s="11">
        <v>1.2671110514342787E-3</v>
      </c>
      <c r="F49" s="6">
        <f t="shared" si="23"/>
        <v>14.0685</v>
      </c>
      <c r="G49" s="5">
        <f t="shared" si="24"/>
        <v>3.8013331543028366E-3</v>
      </c>
      <c r="I49" s="91"/>
      <c r="J49" s="98">
        <f t="shared" si="25"/>
        <v>3.1263333333333332</v>
      </c>
      <c r="K49" s="98">
        <f t="shared" si="26"/>
        <v>0.44444444444444442</v>
      </c>
      <c r="L49" s="98">
        <f t="shared" si="27"/>
        <v>4.6859170183606134</v>
      </c>
      <c r="M49" s="99">
        <f t="shared" si="28"/>
        <v>1.2837757428180181E-5</v>
      </c>
      <c r="N49" s="93"/>
      <c r="O49" s="93"/>
      <c r="P49" s="95"/>
      <c r="Q49" s="95">
        <f t="shared" si="29"/>
        <v>28.137</v>
      </c>
      <c r="R49" s="108">
        <f t="shared" si="30"/>
        <v>4</v>
      </c>
      <c r="S49" s="100">
        <f t="shared" si="31"/>
        <v>14.087553687212107</v>
      </c>
      <c r="T49" s="101">
        <f t="shared" si="32"/>
        <v>3.6304299637681769E-4</v>
      </c>
      <c r="U49" s="97"/>
      <c r="V49" s="97"/>
    </row>
    <row r="50" spans="1:25" ht="13.5" customHeight="1">
      <c r="A50" s="10">
        <v>4</v>
      </c>
      <c r="B50" s="9">
        <f t="shared" si="21"/>
        <v>5</v>
      </c>
      <c r="C50" s="6">
        <f t="shared" si="22"/>
        <v>0.8</v>
      </c>
      <c r="D50" s="8">
        <v>4.6387499999999999</v>
      </c>
      <c r="E50" s="11">
        <v>2.0234140857718378E-3</v>
      </c>
      <c r="F50" s="6">
        <f t="shared" si="23"/>
        <v>23.193750000000001</v>
      </c>
      <c r="G50" s="5">
        <f t="shared" si="24"/>
        <v>1.011707042885919E-2</v>
      </c>
      <c r="I50" s="91"/>
      <c r="J50" s="98">
        <f t="shared" si="25"/>
        <v>3.7110000000000003</v>
      </c>
      <c r="K50" s="98">
        <f t="shared" si="26"/>
        <v>0.64000000000000012</v>
      </c>
      <c r="L50" s="98">
        <f t="shared" si="27"/>
        <v>4.635133062357859</v>
      </c>
      <c r="M50" s="99">
        <f t="shared" si="28"/>
        <v>1.3082237907135648E-5</v>
      </c>
      <c r="N50" s="93"/>
      <c r="O50" s="93"/>
      <c r="P50" s="95"/>
      <c r="Q50" s="95">
        <f t="shared" si="29"/>
        <v>92.775000000000006</v>
      </c>
      <c r="R50" s="108">
        <f t="shared" si="30"/>
        <v>16</v>
      </c>
      <c r="S50" s="100">
        <f t="shared" si="31"/>
        <v>23.193992566600166</v>
      </c>
      <c r="T50" s="101">
        <f t="shared" si="32"/>
        <v>5.8838555515216799E-8</v>
      </c>
      <c r="U50" s="97"/>
      <c r="V50" s="97"/>
    </row>
    <row r="51" spans="1:25" ht="13.5" customHeight="1">
      <c r="A51" s="10">
        <v>5.18</v>
      </c>
      <c r="B51" s="9">
        <f t="shared" si="21"/>
        <v>6.18</v>
      </c>
      <c r="C51" s="6">
        <f t="shared" si="22"/>
        <v>0.8381877022653722</v>
      </c>
      <c r="D51" s="8">
        <v>4.6182499999999997</v>
      </c>
      <c r="E51" s="11">
        <v>4.2688668554039192E-3</v>
      </c>
      <c r="F51" s="6">
        <f t="shared" si="23"/>
        <v>28.540784999999996</v>
      </c>
      <c r="G51" s="5">
        <f t="shared" si="24"/>
        <v>2.6381597166396216E-2</v>
      </c>
      <c r="I51" s="91"/>
      <c r="J51" s="98">
        <f t="shared" si="25"/>
        <v>3.8709603559870551</v>
      </c>
      <c r="K51" s="98">
        <f t="shared" si="26"/>
        <v>0.70255862422890425</v>
      </c>
      <c r="L51" s="98">
        <f t="shared" si="27"/>
        <v>4.6205881429201767</v>
      </c>
      <c r="M51" s="99">
        <f t="shared" si="28"/>
        <v>5.4669123151737248E-6</v>
      </c>
      <c r="N51" s="93"/>
      <c r="O51" s="93"/>
      <c r="P51" s="95"/>
      <c r="Q51" s="95">
        <f t="shared" si="29"/>
        <v>147.84126629999997</v>
      </c>
      <c r="R51" s="108">
        <f t="shared" si="30"/>
        <v>26.832399999999996</v>
      </c>
      <c r="S51" s="100">
        <f t="shared" si="31"/>
        <v>28.56679150543912</v>
      </c>
      <c r="T51" s="101">
        <f t="shared" si="32"/>
        <v>6.7633832515519049E-4</v>
      </c>
      <c r="U51" s="97"/>
      <c r="V51" s="97"/>
    </row>
    <row r="52" spans="1:25" ht="13.5" customHeight="1">
      <c r="A52" s="10">
        <v>7</v>
      </c>
      <c r="B52" s="9">
        <f t="shared" si="21"/>
        <v>8</v>
      </c>
      <c r="C52" s="6">
        <f t="shared" si="22"/>
        <v>0.875</v>
      </c>
      <c r="D52" s="8">
        <v>4.6050000000000004</v>
      </c>
      <c r="E52" s="11">
        <v>3.1037755234551985E-3</v>
      </c>
      <c r="F52" s="6">
        <f t="shared" si="23"/>
        <v>36.840000000000003</v>
      </c>
      <c r="G52" s="5">
        <f t="shared" si="24"/>
        <v>2.4830204187641588E-2</v>
      </c>
      <c r="I52" s="91"/>
      <c r="J52" s="98">
        <f t="shared" si="25"/>
        <v>4.0293749999999999</v>
      </c>
      <c r="K52" s="98">
        <f t="shared" si="26"/>
        <v>0.765625</v>
      </c>
      <c r="L52" s="98">
        <f t="shared" si="27"/>
        <v>4.6065670871063089</v>
      </c>
      <c r="M52" s="99">
        <f t="shared" si="28"/>
        <v>2.4557619987582997E-6</v>
      </c>
      <c r="N52" s="93"/>
      <c r="O52" s="93"/>
      <c r="P52" s="95"/>
      <c r="Q52" s="95">
        <f t="shared" si="29"/>
        <v>257.88</v>
      </c>
      <c r="R52" s="108">
        <f t="shared" si="30"/>
        <v>49</v>
      </c>
      <c r="S52" s="100">
        <f t="shared" si="31"/>
        <v>36.853650885682256</v>
      </c>
      <c r="T52" s="101">
        <f t="shared" si="32"/>
        <v>1.8634667990994087E-4</v>
      </c>
      <c r="U52" s="97"/>
      <c r="V52" s="97"/>
    </row>
    <row r="53" spans="1:25" ht="13.5" customHeight="1">
      <c r="A53" s="10">
        <v>10</v>
      </c>
      <c r="B53" s="9">
        <f t="shared" si="21"/>
        <v>11</v>
      </c>
      <c r="C53" s="6">
        <f t="shared" si="22"/>
        <v>0.90909090909090906</v>
      </c>
      <c r="D53" s="8">
        <v>4.5962500000000004</v>
      </c>
      <c r="E53" s="11">
        <v>4.2688668554042028E-3</v>
      </c>
      <c r="F53" s="6">
        <f t="shared" si="23"/>
        <v>50.558750000000003</v>
      </c>
      <c r="G53" s="5">
        <f t="shared" si="24"/>
        <v>4.6957535409446229E-2</v>
      </c>
      <c r="I53" s="91"/>
      <c r="J53" s="98">
        <f t="shared" si="25"/>
        <v>4.1784090909090912</v>
      </c>
      <c r="K53" s="98">
        <f t="shared" si="26"/>
        <v>0.82644628099173545</v>
      </c>
      <c r="L53" s="98">
        <f t="shared" si="27"/>
        <v>4.5935825529010597</v>
      </c>
      <c r="M53" s="99">
        <f t="shared" si="28"/>
        <v>7.1152740256473377E-6</v>
      </c>
      <c r="N53" s="93"/>
      <c r="O53" s="93"/>
      <c r="P53" s="95"/>
      <c r="Q53" s="95">
        <f t="shared" si="29"/>
        <v>505.58750000000003</v>
      </c>
      <c r="R53" s="108">
        <f t="shared" si="30"/>
        <v>100</v>
      </c>
      <c r="S53" s="100">
        <f t="shared" si="31"/>
        <v>50.513309204764347</v>
      </c>
      <c r="T53" s="101">
        <f t="shared" si="32"/>
        <v>2.0648658716488299E-3</v>
      </c>
      <c r="U53" s="97"/>
      <c r="V53" s="97"/>
    </row>
    <row r="54" spans="1:25" ht="13.5" customHeight="1">
      <c r="A54" s="10">
        <v>12</v>
      </c>
      <c r="B54" s="9">
        <f t="shared" si="21"/>
        <v>13</v>
      </c>
      <c r="C54" s="6">
        <f t="shared" si="22"/>
        <v>0.92307692307692313</v>
      </c>
      <c r="D54" s="8">
        <v>4.5869999999999997</v>
      </c>
      <c r="E54" s="11">
        <v>3.6724367251183749E-3</v>
      </c>
      <c r="F54" s="6">
        <f t="shared" si="23"/>
        <v>59.631</v>
      </c>
      <c r="G54" s="5">
        <f t="shared" si="24"/>
        <v>4.7741677426538877E-2</v>
      </c>
      <c r="I54" s="91"/>
      <c r="J54" s="98">
        <f t="shared" si="25"/>
        <v>4.2341538461538457</v>
      </c>
      <c r="K54" s="98">
        <f t="shared" si="26"/>
        <v>0.8520710059171599</v>
      </c>
      <c r="L54" s="98">
        <f t="shared" si="27"/>
        <v>4.5882555645091623</v>
      </c>
      <c r="M54" s="99">
        <f t="shared" si="28"/>
        <v>1.5764422366685506E-6</v>
      </c>
      <c r="N54" s="93"/>
      <c r="O54" s="93"/>
      <c r="P54" s="95"/>
      <c r="Q54" s="95">
        <f t="shared" si="29"/>
        <v>715.572</v>
      </c>
      <c r="R54" s="108">
        <f t="shared" si="30"/>
        <v>144</v>
      </c>
      <c r="S54" s="100">
        <f t="shared" si="31"/>
        <v>59.619748084152413</v>
      </c>
      <c r="T54" s="101">
        <f t="shared" si="32"/>
        <v>1.266056102411945E-4</v>
      </c>
      <c r="U54" s="97"/>
      <c r="V54" s="97"/>
    </row>
    <row r="55" spans="1:25" ht="13.5" customHeight="1">
      <c r="A55" s="10">
        <v>15</v>
      </c>
      <c r="B55" s="9">
        <f t="shared" si="21"/>
        <v>16</v>
      </c>
      <c r="C55" s="6">
        <f t="shared" si="22"/>
        <v>0.9375</v>
      </c>
      <c r="D55" s="8">
        <v>4.57925</v>
      </c>
      <c r="E55" s="11">
        <v>3.7050812491091264E-3</v>
      </c>
      <c r="F55" s="6">
        <f t="shared" si="23"/>
        <v>73.268000000000001</v>
      </c>
      <c r="G55" s="5">
        <f t="shared" si="24"/>
        <v>5.9281299985746029E-2</v>
      </c>
      <c r="I55" s="91"/>
      <c r="J55" s="98">
        <f t="shared" si="25"/>
        <v>4.2930468749999999</v>
      </c>
      <c r="K55" s="98">
        <f t="shared" si="26"/>
        <v>0.87890625</v>
      </c>
      <c r="L55" s="98">
        <f t="shared" si="27"/>
        <v>4.5827621077300176</v>
      </c>
      <c r="M55" s="99">
        <f t="shared" si="28"/>
        <v>1.2334900707248909E-5</v>
      </c>
      <c r="N55" s="93"/>
      <c r="O55" s="93"/>
      <c r="P55" s="95"/>
      <c r="Q55" s="95">
        <f t="shared" si="29"/>
        <v>1099.02</v>
      </c>
      <c r="R55" s="108">
        <f t="shared" si="30"/>
        <v>225</v>
      </c>
      <c r="S55" s="100">
        <f t="shared" si="31"/>
        <v>73.279406403234489</v>
      </c>
      <c r="T55" s="101">
        <f t="shared" si="32"/>
        <v>1.3010603474774958E-4</v>
      </c>
      <c r="U55" s="97"/>
      <c r="V55" s="97"/>
    </row>
    <row r="56" spans="1:25" ht="13.5" customHeight="1">
      <c r="A56" s="10">
        <v>20</v>
      </c>
      <c r="B56" s="9">
        <f t="shared" si="21"/>
        <v>21</v>
      </c>
      <c r="C56" s="6">
        <f t="shared" si="22"/>
        <v>0.95238095238095233</v>
      </c>
      <c r="D56" s="8">
        <v>4.5772499999999994</v>
      </c>
      <c r="E56" s="11">
        <v>2.3191940185834101E-3</v>
      </c>
      <c r="F56" s="6">
        <f t="shared" si="23"/>
        <v>96.12224999999998</v>
      </c>
      <c r="G56" s="5">
        <f t="shared" si="24"/>
        <v>4.8703074390251615E-2</v>
      </c>
      <c r="I56" s="91"/>
      <c r="J56" s="98">
        <f t="shared" si="25"/>
        <v>4.3592857142857131</v>
      </c>
      <c r="K56" s="98">
        <f t="shared" si="26"/>
        <v>0.90702947845804982</v>
      </c>
      <c r="L56" s="98">
        <f t="shared" si="27"/>
        <v>4.5770942554975678</v>
      </c>
      <c r="M56" s="99">
        <f t="shared" si="28"/>
        <v>2.4256350037669628E-8</v>
      </c>
      <c r="N56" s="93"/>
      <c r="O56" s="93"/>
      <c r="P56" s="95"/>
      <c r="Q56" s="95">
        <f t="shared" si="29"/>
        <v>1922.4449999999997</v>
      </c>
      <c r="R56" s="108">
        <f t="shared" si="30"/>
        <v>400</v>
      </c>
      <c r="S56" s="100">
        <f t="shared" si="31"/>
        <v>96.045503601704638</v>
      </c>
      <c r="T56" s="101">
        <f t="shared" si="32"/>
        <v>5.8900096513072086E-3</v>
      </c>
      <c r="U56" s="97"/>
      <c r="V56" s="97"/>
    </row>
    <row r="57" spans="1:25" ht="13.5" customHeight="1">
      <c r="A57" s="10">
        <v>30</v>
      </c>
      <c r="B57" s="9">
        <f t="shared" si="21"/>
        <v>31</v>
      </c>
      <c r="C57" s="6">
        <f t="shared" si="22"/>
        <v>0.967741935483871</v>
      </c>
      <c r="D57" s="8">
        <v>4.5715000000000003</v>
      </c>
      <c r="E57" s="11">
        <v>3.0516075135353601E-3</v>
      </c>
      <c r="F57" s="6">
        <f t="shared" si="23"/>
        <v>141.7165</v>
      </c>
      <c r="G57" s="5">
        <f t="shared" si="24"/>
        <v>9.4599832919596158E-2</v>
      </c>
      <c r="I57" s="91"/>
      <c r="J57" s="98">
        <f t="shared" si="25"/>
        <v>4.4240322580645168</v>
      </c>
      <c r="K57" s="98">
        <f t="shared" si="26"/>
        <v>0.93652445369406878</v>
      </c>
      <c r="L57" s="98">
        <f t="shared" si="27"/>
        <v>4.5712435693221352</v>
      </c>
      <c r="M57" s="99">
        <f t="shared" si="28"/>
        <v>6.5756692550397038E-8</v>
      </c>
      <c r="N57" s="93"/>
      <c r="O57" s="93"/>
      <c r="P57" s="95"/>
      <c r="Q57" s="95">
        <f t="shared" si="29"/>
        <v>4251.4949999999999</v>
      </c>
      <c r="R57" s="108">
        <f t="shared" si="30"/>
        <v>900</v>
      </c>
      <c r="S57" s="100">
        <f t="shared" si="31"/>
        <v>141.57769799864494</v>
      </c>
      <c r="T57" s="101">
        <f t="shared" si="32"/>
        <v>1.9265995580170121E-2</v>
      </c>
      <c r="U57" s="97"/>
      <c r="V57" s="97"/>
    </row>
    <row r="58" spans="1:25" ht="13.5" customHeight="1">
      <c r="A58" s="10">
        <v>40</v>
      </c>
      <c r="B58" s="9">
        <f t="shared" si="21"/>
        <v>41</v>
      </c>
      <c r="C58" s="6">
        <f t="shared" si="22"/>
        <v>0.97560975609756095</v>
      </c>
      <c r="D58" s="8">
        <v>4.5709999999999997</v>
      </c>
      <c r="E58" s="11">
        <v>2.8894577634337696E-3</v>
      </c>
      <c r="F58" s="6">
        <f t="shared" si="23"/>
        <v>187.411</v>
      </c>
      <c r="G58" s="5">
        <f t="shared" si="24"/>
        <v>0.11846776830078455</v>
      </c>
      <c r="I58" s="91"/>
      <c r="J58" s="98">
        <f t="shared" si="25"/>
        <v>4.4595121951219507</v>
      </c>
      <c r="K58" s="98">
        <f t="shared" si="26"/>
        <v>0.95181439619274233</v>
      </c>
      <c r="L58" s="98">
        <f t="shared" si="27"/>
        <v>4.5682468764030109</v>
      </c>
      <c r="M58" s="99">
        <f t="shared" si="28"/>
        <v>7.5796895402969403E-6</v>
      </c>
      <c r="N58" s="93"/>
      <c r="O58" s="93"/>
      <c r="P58" s="95"/>
      <c r="Q58" s="95">
        <f t="shared" si="29"/>
        <v>7496.4400000000005</v>
      </c>
      <c r="R58" s="108">
        <f t="shared" si="30"/>
        <v>1600</v>
      </c>
      <c r="S58" s="100">
        <f t="shared" si="31"/>
        <v>187.10989239558523</v>
      </c>
      <c r="T58" s="101">
        <f t="shared" si="32"/>
        <v>9.0665789436399899E-2</v>
      </c>
      <c r="U58" s="97"/>
      <c r="V58" s="97"/>
    </row>
    <row r="59" spans="1:25" ht="13.5" customHeight="1">
      <c r="A59" s="10">
        <v>100</v>
      </c>
      <c r="B59" s="9">
        <f t="shared" si="21"/>
        <v>101</v>
      </c>
      <c r="C59" s="6">
        <f t="shared" si="22"/>
        <v>0.99009900990099009</v>
      </c>
      <c r="D59" s="8">
        <v>4.5557142857142852</v>
      </c>
      <c r="E59" s="7">
        <v>3.0000000000000001E-3</v>
      </c>
      <c r="F59" s="6">
        <f t="shared" si="23"/>
        <v>460.12714285714281</v>
      </c>
      <c r="G59" s="5">
        <f t="shared" si="24"/>
        <v>0.30299999999999999</v>
      </c>
      <c r="I59" s="91"/>
      <c r="J59" s="98">
        <f t="shared" si="25"/>
        <v>4.5106082036775099</v>
      </c>
      <c r="K59" s="98">
        <f t="shared" si="26"/>
        <v>0.98029604940692083</v>
      </c>
      <c r="L59" s="98">
        <f t="shared" si="27"/>
        <v>4.5627282141955154</v>
      </c>
      <c r="M59" s="99">
        <f t="shared" si="28"/>
        <v>4.9195192739813305E-5</v>
      </c>
      <c r="N59" s="93"/>
      <c r="O59" s="93"/>
      <c r="P59" s="95"/>
      <c r="Q59" s="95">
        <f t="shared" si="29"/>
        <v>46012.714285714283</v>
      </c>
      <c r="R59" s="108">
        <f t="shared" si="30"/>
        <v>10000</v>
      </c>
      <c r="S59" s="100">
        <f t="shared" si="31"/>
        <v>460.30305877722702</v>
      </c>
      <c r="T59" s="101">
        <f t="shared" si="32"/>
        <v>3.0946410939073368E-2</v>
      </c>
      <c r="U59" s="97"/>
      <c r="V59" s="97"/>
      <c r="W59" s="4"/>
      <c r="X59" s="4"/>
      <c r="Y59" s="4"/>
    </row>
    <row r="60" spans="1:25">
      <c r="A60" s="102">
        <f t="shared" ref="A60:C60" si="33">SUM(A40:A59)</f>
        <v>253.05500000000001</v>
      </c>
      <c r="B60" s="102">
        <f t="shared" si="33"/>
        <v>273.05500000000001</v>
      </c>
      <c r="C60" s="102">
        <f t="shared" si="33"/>
        <v>13.555844475453867</v>
      </c>
      <c r="D60" s="102">
        <f>SUM(D40:D59)</f>
        <v>93.633590396825426</v>
      </c>
      <c r="E60" s="102">
        <f t="shared" ref="E60:G60" si="34">SUM(E40:E59)</f>
        <v>0.10282110112645756</v>
      </c>
      <c r="F60" s="102">
        <f t="shared" si="34"/>
        <v>1251.837241468254</v>
      </c>
      <c r="G60" s="102">
        <f t="shared" si="34"/>
        <v>0.8904450948975513</v>
      </c>
      <c r="I60" s="106" t="s">
        <v>99</v>
      </c>
      <c r="J60" s="102">
        <f>SUM(J40:J59)</f>
        <v>62.864678452619586</v>
      </c>
      <c r="K60" s="102">
        <f t="shared" ref="K60:M60" si="35">SUM(K40:K59)</f>
        <v>10.761878994605262</v>
      </c>
      <c r="L60" s="102">
        <f t="shared" si="35"/>
        <v>93.633590396825483</v>
      </c>
      <c r="M60" s="102">
        <f t="shared" si="35"/>
        <v>1.6005444682590287E-3</v>
      </c>
      <c r="N60" s="93"/>
      <c r="O60" s="93"/>
      <c r="P60" s="107" t="s">
        <v>99</v>
      </c>
      <c r="Q60" s="104">
        <f>SUM(Q40:Q59)</f>
        <v>62612.15937232678</v>
      </c>
      <c r="R60" s="105">
        <f t="shared" ref="R60:T60" si="36">SUM(R40:R59)</f>
        <v>13474.348024999999</v>
      </c>
      <c r="S60" s="104">
        <f t="shared" si="36"/>
        <v>1251.8372414682535</v>
      </c>
      <c r="T60" s="104">
        <f t="shared" si="36"/>
        <v>0.16508366049473461</v>
      </c>
      <c r="U60" s="97"/>
      <c r="V60" s="97"/>
    </row>
    <row r="62" spans="1:25">
      <c r="A62" s="2"/>
      <c r="B62" s="2"/>
      <c r="C62" s="2"/>
      <c r="D62" s="2"/>
      <c r="E62" s="2"/>
      <c r="F62" s="2"/>
      <c r="G62" s="2"/>
      <c r="H62" s="2"/>
    </row>
    <row r="63" spans="1: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2"/>
      <c r="R91" s="2"/>
      <c r="S91" s="2"/>
      <c r="T91" s="2"/>
      <c r="U91" s="2"/>
    </row>
    <row r="92" spans="1:2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2"/>
      <c r="R92" s="2"/>
      <c r="S92" s="2"/>
      <c r="T92" s="2"/>
      <c r="U92" s="2"/>
    </row>
    <row r="93" spans="1:2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>
      <c r="A107" s="2"/>
      <c r="B107" s="2"/>
      <c r="C107" s="2"/>
      <c r="D107" s="2"/>
      <c r="E107" s="2"/>
      <c r="F107" s="2"/>
      <c r="G107" s="2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>
      <c r="A108" s="2"/>
      <c r="B108" s="2"/>
      <c r="C108" s="2"/>
      <c r="D108" s="2"/>
      <c r="E108" s="2"/>
      <c r="F108" s="2"/>
      <c r="G108" s="2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</sheetData>
  <pageMargins left="0.75" right="0.75" top="1" bottom="1" header="0.5" footer="0.5"/>
  <pageSetup scale="57" orientation="portrait" r:id="rId1"/>
  <headerFooter alignWithMargins="0"/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F4B2A-59AA-4FE8-B9BE-E4D6099BFD61}">
  <sheetPr>
    <tabColor theme="4"/>
  </sheetPr>
  <dimension ref="A1:AG196"/>
  <sheetViews>
    <sheetView topLeftCell="A10" zoomScale="60" zoomScaleNormal="60" workbookViewId="0">
      <selection activeCell="Q30" sqref="Q30"/>
    </sheetView>
  </sheetViews>
  <sheetFormatPr defaultRowHeight="13.2"/>
  <cols>
    <col min="1" max="2" width="8.88671875" style="44"/>
    <col min="3" max="4" width="12.5546875" style="44" bestFit="1" customWidth="1"/>
    <col min="5" max="6" width="9.5546875" style="44" bestFit="1" customWidth="1"/>
    <col min="7" max="7" width="10.5546875" style="44" bestFit="1" customWidth="1"/>
    <col min="8" max="8" width="10.5546875" style="44" customWidth="1"/>
    <col min="9" max="21" width="9.5546875" style="44" bestFit="1" customWidth="1"/>
    <col min="22" max="259" width="8.88671875" style="44"/>
    <col min="260" max="260" width="9.5546875" style="44" bestFit="1" customWidth="1"/>
    <col min="261" max="261" width="10.88671875" style="44" bestFit="1" customWidth="1"/>
    <col min="262" max="515" width="8.88671875" style="44"/>
    <col min="516" max="516" width="9.5546875" style="44" bestFit="1" customWidth="1"/>
    <col min="517" max="517" width="10.88671875" style="44" bestFit="1" customWidth="1"/>
    <col min="518" max="771" width="8.88671875" style="44"/>
    <col min="772" max="772" width="9.5546875" style="44" bestFit="1" customWidth="1"/>
    <col min="773" max="773" width="10.88671875" style="44" bestFit="1" customWidth="1"/>
    <col min="774" max="1027" width="8.88671875" style="44"/>
    <col min="1028" max="1028" width="9.5546875" style="44" bestFit="1" customWidth="1"/>
    <col min="1029" max="1029" width="10.88671875" style="44" bestFit="1" customWidth="1"/>
    <col min="1030" max="1283" width="8.88671875" style="44"/>
    <col min="1284" max="1284" width="9.5546875" style="44" bestFit="1" customWidth="1"/>
    <col min="1285" max="1285" width="10.88671875" style="44" bestFit="1" customWidth="1"/>
    <col min="1286" max="1539" width="8.88671875" style="44"/>
    <col min="1540" max="1540" width="9.5546875" style="44" bestFit="1" customWidth="1"/>
    <col min="1541" max="1541" width="10.88671875" style="44" bestFit="1" customWidth="1"/>
    <col min="1542" max="1795" width="8.88671875" style="44"/>
    <col min="1796" max="1796" width="9.5546875" style="44" bestFit="1" customWidth="1"/>
    <col min="1797" max="1797" width="10.88671875" style="44" bestFit="1" customWidth="1"/>
    <col min="1798" max="2051" width="8.88671875" style="44"/>
    <col min="2052" max="2052" width="9.5546875" style="44" bestFit="1" customWidth="1"/>
    <col min="2053" max="2053" width="10.88671875" style="44" bestFit="1" customWidth="1"/>
    <col min="2054" max="2307" width="8.88671875" style="44"/>
    <col min="2308" max="2308" width="9.5546875" style="44" bestFit="1" customWidth="1"/>
    <col min="2309" max="2309" width="10.88671875" style="44" bestFit="1" customWidth="1"/>
    <col min="2310" max="2563" width="8.88671875" style="44"/>
    <col min="2564" max="2564" width="9.5546875" style="44" bestFit="1" customWidth="1"/>
    <col min="2565" max="2565" width="10.88671875" style="44" bestFit="1" customWidth="1"/>
    <col min="2566" max="2819" width="8.88671875" style="44"/>
    <col min="2820" max="2820" width="9.5546875" style="44" bestFit="1" customWidth="1"/>
    <col min="2821" max="2821" width="10.88671875" style="44" bestFit="1" customWidth="1"/>
    <col min="2822" max="3075" width="8.88671875" style="44"/>
    <col min="3076" max="3076" width="9.5546875" style="44" bestFit="1" customWidth="1"/>
    <col min="3077" max="3077" width="10.88671875" style="44" bestFit="1" customWidth="1"/>
    <col min="3078" max="3331" width="8.88671875" style="44"/>
    <col min="3332" max="3332" width="9.5546875" style="44" bestFit="1" customWidth="1"/>
    <col min="3333" max="3333" width="10.88671875" style="44" bestFit="1" customWidth="1"/>
    <col min="3334" max="3587" width="8.88671875" style="44"/>
    <col min="3588" max="3588" width="9.5546875" style="44" bestFit="1" customWidth="1"/>
    <col min="3589" max="3589" width="10.88671875" style="44" bestFit="1" customWidth="1"/>
    <col min="3590" max="3843" width="8.88671875" style="44"/>
    <col min="3844" max="3844" width="9.5546875" style="44" bestFit="1" customWidth="1"/>
    <col min="3845" max="3845" width="10.88671875" style="44" bestFit="1" customWidth="1"/>
    <col min="3846" max="4099" width="8.88671875" style="44"/>
    <col min="4100" max="4100" width="9.5546875" style="44" bestFit="1" customWidth="1"/>
    <col min="4101" max="4101" width="10.88671875" style="44" bestFit="1" customWidth="1"/>
    <col min="4102" max="4355" width="8.88671875" style="44"/>
    <col min="4356" max="4356" width="9.5546875" style="44" bestFit="1" customWidth="1"/>
    <col min="4357" max="4357" width="10.88671875" style="44" bestFit="1" customWidth="1"/>
    <col min="4358" max="4611" width="8.88671875" style="44"/>
    <col min="4612" max="4612" width="9.5546875" style="44" bestFit="1" customWidth="1"/>
    <col min="4613" max="4613" width="10.88671875" style="44" bestFit="1" customWidth="1"/>
    <col min="4614" max="4867" width="8.88671875" style="44"/>
    <col min="4868" max="4868" width="9.5546875" style="44" bestFit="1" customWidth="1"/>
    <col min="4869" max="4869" width="10.88671875" style="44" bestFit="1" customWidth="1"/>
    <col min="4870" max="5123" width="8.88671875" style="44"/>
    <col min="5124" max="5124" width="9.5546875" style="44" bestFit="1" customWidth="1"/>
    <col min="5125" max="5125" width="10.88671875" style="44" bestFit="1" customWidth="1"/>
    <col min="5126" max="5379" width="8.88671875" style="44"/>
    <col min="5380" max="5380" width="9.5546875" style="44" bestFit="1" customWidth="1"/>
    <col min="5381" max="5381" width="10.88671875" style="44" bestFit="1" customWidth="1"/>
    <col min="5382" max="5635" width="8.88671875" style="44"/>
    <col min="5636" max="5636" width="9.5546875" style="44" bestFit="1" customWidth="1"/>
    <col min="5637" max="5637" width="10.88671875" style="44" bestFit="1" customWidth="1"/>
    <col min="5638" max="5891" width="8.88671875" style="44"/>
    <col min="5892" max="5892" width="9.5546875" style="44" bestFit="1" customWidth="1"/>
    <col min="5893" max="5893" width="10.88671875" style="44" bestFit="1" customWidth="1"/>
    <col min="5894" max="6147" width="8.88671875" style="44"/>
    <col min="6148" max="6148" width="9.5546875" style="44" bestFit="1" customWidth="1"/>
    <col min="6149" max="6149" width="10.88671875" style="44" bestFit="1" customWidth="1"/>
    <col min="6150" max="6403" width="8.88671875" style="44"/>
    <col min="6404" max="6404" width="9.5546875" style="44" bestFit="1" customWidth="1"/>
    <col min="6405" max="6405" width="10.88671875" style="44" bestFit="1" customWidth="1"/>
    <col min="6406" max="6659" width="8.88671875" style="44"/>
    <col min="6660" max="6660" width="9.5546875" style="44" bestFit="1" customWidth="1"/>
    <col min="6661" max="6661" width="10.88671875" style="44" bestFit="1" customWidth="1"/>
    <col min="6662" max="6915" width="8.88671875" style="44"/>
    <col min="6916" max="6916" width="9.5546875" style="44" bestFit="1" customWidth="1"/>
    <col min="6917" max="6917" width="10.88671875" style="44" bestFit="1" customWidth="1"/>
    <col min="6918" max="7171" width="8.88671875" style="44"/>
    <col min="7172" max="7172" width="9.5546875" style="44" bestFit="1" customWidth="1"/>
    <col min="7173" max="7173" width="10.88671875" style="44" bestFit="1" customWidth="1"/>
    <col min="7174" max="7427" width="8.88671875" style="44"/>
    <col min="7428" max="7428" width="9.5546875" style="44" bestFit="1" customWidth="1"/>
    <col min="7429" max="7429" width="10.88671875" style="44" bestFit="1" customWidth="1"/>
    <col min="7430" max="7683" width="8.88671875" style="44"/>
    <col min="7684" max="7684" width="9.5546875" style="44" bestFit="1" customWidth="1"/>
    <col min="7685" max="7685" width="10.88671875" style="44" bestFit="1" customWidth="1"/>
    <col min="7686" max="7939" width="8.88671875" style="44"/>
    <col min="7940" max="7940" width="9.5546875" style="44" bestFit="1" customWidth="1"/>
    <col min="7941" max="7941" width="10.88671875" style="44" bestFit="1" customWidth="1"/>
    <col min="7942" max="8195" width="8.88671875" style="44"/>
    <col min="8196" max="8196" width="9.5546875" style="44" bestFit="1" customWidth="1"/>
    <col min="8197" max="8197" width="10.88671875" style="44" bestFit="1" customWidth="1"/>
    <col min="8198" max="8451" width="8.88671875" style="44"/>
    <col min="8452" max="8452" width="9.5546875" style="44" bestFit="1" customWidth="1"/>
    <col min="8453" max="8453" width="10.88671875" style="44" bestFit="1" customWidth="1"/>
    <col min="8454" max="8707" width="8.88671875" style="44"/>
    <col min="8708" max="8708" width="9.5546875" style="44" bestFit="1" customWidth="1"/>
    <col min="8709" max="8709" width="10.88671875" style="44" bestFit="1" customWidth="1"/>
    <col min="8710" max="8963" width="8.88671875" style="44"/>
    <col min="8964" max="8964" width="9.5546875" style="44" bestFit="1" customWidth="1"/>
    <col min="8965" max="8965" width="10.88671875" style="44" bestFit="1" customWidth="1"/>
    <col min="8966" max="9219" width="8.88671875" style="44"/>
    <col min="9220" max="9220" width="9.5546875" style="44" bestFit="1" customWidth="1"/>
    <col min="9221" max="9221" width="10.88671875" style="44" bestFit="1" customWidth="1"/>
    <col min="9222" max="9475" width="8.88671875" style="44"/>
    <col min="9476" max="9476" width="9.5546875" style="44" bestFit="1" customWidth="1"/>
    <col min="9477" max="9477" width="10.88671875" style="44" bestFit="1" customWidth="1"/>
    <col min="9478" max="9731" width="8.88671875" style="44"/>
    <col min="9732" max="9732" width="9.5546875" style="44" bestFit="1" customWidth="1"/>
    <col min="9733" max="9733" width="10.88671875" style="44" bestFit="1" customWidth="1"/>
    <col min="9734" max="9987" width="8.88671875" style="44"/>
    <col min="9988" max="9988" width="9.5546875" style="44" bestFit="1" customWidth="1"/>
    <col min="9989" max="9989" width="10.88671875" style="44" bestFit="1" customWidth="1"/>
    <col min="9990" max="10243" width="8.88671875" style="44"/>
    <col min="10244" max="10244" width="9.5546875" style="44" bestFit="1" customWidth="1"/>
    <col min="10245" max="10245" width="10.88671875" style="44" bestFit="1" customWidth="1"/>
    <col min="10246" max="10499" width="8.88671875" style="44"/>
    <col min="10500" max="10500" width="9.5546875" style="44" bestFit="1" customWidth="1"/>
    <col min="10501" max="10501" width="10.88671875" style="44" bestFit="1" customWidth="1"/>
    <col min="10502" max="10755" width="8.88671875" style="44"/>
    <col min="10756" max="10756" width="9.5546875" style="44" bestFit="1" customWidth="1"/>
    <col min="10757" max="10757" width="10.88671875" style="44" bestFit="1" customWidth="1"/>
    <col min="10758" max="11011" width="8.88671875" style="44"/>
    <col min="11012" max="11012" width="9.5546875" style="44" bestFit="1" customWidth="1"/>
    <col min="11013" max="11013" width="10.88671875" style="44" bestFit="1" customWidth="1"/>
    <col min="11014" max="11267" width="8.88671875" style="44"/>
    <col min="11268" max="11268" width="9.5546875" style="44" bestFit="1" customWidth="1"/>
    <col min="11269" max="11269" width="10.88671875" style="44" bestFit="1" customWidth="1"/>
    <col min="11270" max="11523" width="8.88671875" style="44"/>
    <col min="11524" max="11524" width="9.5546875" style="44" bestFit="1" customWidth="1"/>
    <col min="11525" max="11525" width="10.88671875" style="44" bestFit="1" customWidth="1"/>
    <col min="11526" max="11779" width="8.88671875" style="44"/>
    <col min="11780" max="11780" width="9.5546875" style="44" bestFit="1" customWidth="1"/>
    <col min="11781" max="11781" width="10.88671875" style="44" bestFit="1" customWidth="1"/>
    <col min="11782" max="12035" width="8.88671875" style="44"/>
    <col min="12036" max="12036" width="9.5546875" style="44" bestFit="1" customWidth="1"/>
    <col min="12037" max="12037" width="10.88671875" style="44" bestFit="1" customWidth="1"/>
    <col min="12038" max="12291" width="8.88671875" style="44"/>
    <col min="12292" max="12292" width="9.5546875" style="44" bestFit="1" customWidth="1"/>
    <col min="12293" max="12293" width="10.88671875" style="44" bestFit="1" customWidth="1"/>
    <col min="12294" max="12547" width="8.88671875" style="44"/>
    <col min="12548" max="12548" width="9.5546875" style="44" bestFit="1" customWidth="1"/>
    <col min="12549" max="12549" width="10.88671875" style="44" bestFit="1" customWidth="1"/>
    <col min="12550" max="12803" width="8.88671875" style="44"/>
    <col min="12804" max="12804" width="9.5546875" style="44" bestFit="1" customWidth="1"/>
    <col min="12805" max="12805" width="10.88671875" style="44" bestFit="1" customWidth="1"/>
    <col min="12806" max="13059" width="8.88671875" style="44"/>
    <col min="13060" max="13060" width="9.5546875" style="44" bestFit="1" customWidth="1"/>
    <col min="13061" max="13061" width="10.88671875" style="44" bestFit="1" customWidth="1"/>
    <col min="13062" max="13315" width="8.88671875" style="44"/>
    <col min="13316" max="13316" width="9.5546875" style="44" bestFit="1" customWidth="1"/>
    <col min="13317" max="13317" width="10.88671875" style="44" bestFit="1" customWidth="1"/>
    <col min="13318" max="13571" width="8.88671875" style="44"/>
    <col min="13572" max="13572" width="9.5546875" style="44" bestFit="1" customWidth="1"/>
    <col min="13573" max="13573" width="10.88671875" style="44" bestFit="1" customWidth="1"/>
    <col min="13574" max="13827" width="8.88671875" style="44"/>
    <col min="13828" max="13828" width="9.5546875" style="44" bestFit="1" customWidth="1"/>
    <col min="13829" max="13829" width="10.88671875" style="44" bestFit="1" customWidth="1"/>
    <col min="13830" max="14083" width="8.88671875" style="44"/>
    <col min="14084" max="14084" width="9.5546875" style="44" bestFit="1" customWidth="1"/>
    <col min="14085" max="14085" width="10.88671875" style="44" bestFit="1" customWidth="1"/>
    <col min="14086" max="14339" width="8.88671875" style="44"/>
    <col min="14340" max="14340" width="9.5546875" style="44" bestFit="1" customWidth="1"/>
    <col min="14341" max="14341" width="10.88671875" style="44" bestFit="1" customWidth="1"/>
    <col min="14342" max="14595" width="8.88671875" style="44"/>
    <col min="14596" max="14596" width="9.5546875" style="44" bestFit="1" customWidth="1"/>
    <col min="14597" max="14597" width="10.88671875" style="44" bestFit="1" customWidth="1"/>
    <col min="14598" max="14851" width="8.88671875" style="44"/>
    <col min="14852" max="14852" width="9.5546875" style="44" bestFit="1" customWidth="1"/>
    <col min="14853" max="14853" width="10.88671875" style="44" bestFit="1" customWidth="1"/>
    <col min="14854" max="15107" width="8.88671875" style="44"/>
    <col min="15108" max="15108" width="9.5546875" style="44" bestFit="1" customWidth="1"/>
    <col min="15109" max="15109" width="10.88671875" style="44" bestFit="1" customWidth="1"/>
    <col min="15110" max="15363" width="8.88671875" style="44"/>
    <col min="15364" max="15364" width="9.5546875" style="44" bestFit="1" customWidth="1"/>
    <col min="15365" max="15365" width="10.88671875" style="44" bestFit="1" customWidth="1"/>
    <col min="15366" max="15619" width="8.88671875" style="44"/>
    <col min="15620" max="15620" width="9.5546875" style="44" bestFit="1" customWidth="1"/>
    <col min="15621" max="15621" width="10.88671875" style="44" bestFit="1" customWidth="1"/>
    <col min="15622" max="15875" width="8.88671875" style="44"/>
    <col min="15876" max="15876" width="9.5546875" style="44" bestFit="1" customWidth="1"/>
    <col min="15877" max="15877" width="10.88671875" style="44" bestFit="1" customWidth="1"/>
    <col min="15878" max="16131" width="8.88671875" style="44"/>
    <col min="16132" max="16132" width="9.5546875" style="44" bestFit="1" customWidth="1"/>
    <col min="16133" max="16133" width="10.88671875" style="44" bestFit="1" customWidth="1"/>
    <col min="16134" max="16384" width="8.88671875" style="44"/>
  </cols>
  <sheetData>
    <row r="1" spans="1:27">
      <c r="A1" s="80" t="s">
        <v>66</v>
      </c>
      <c r="B1" s="80" t="s">
        <v>27</v>
      </c>
      <c r="C1" s="80" t="s">
        <v>27</v>
      </c>
      <c r="D1" s="80" t="s">
        <v>27</v>
      </c>
      <c r="E1" s="82" t="s">
        <v>64</v>
      </c>
      <c r="F1" s="83" t="s">
        <v>63</v>
      </c>
      <c r="G1" s="83" t="s">
        <v>63</v>
      </c>
      <c r="I1" s="68" t="s">
        <v>62</v>
      </c>
      <c r="J1" s="82" t="s">
        <v>64</v>
      </c>
      <c r="K1" s="84" t="s">
        <v>71</v>
      </c>
      <c r="L1" s="82" t="s">
        <v>64</v>
      </c>
      <c r="M1" s="84" t="s">
        <v>72</v>
      </c>
      <c r="N1" s="82" t="s">
        <v>64</v>
      </c>
      <c r="O1" s="84" t="s">
        <v>73</v>
      </c>
      <c r="P1" s="82" t="s">
        <v>64</v>
      </c>
      <c r="Q1" s="84" t="s">
        <v>70</v>
      </c>
      <c r="R1" s="84" t="s">
        <v>45</v>
      </c>
      <c r="S1" s="84" t="s">
        <v>74</v>
      </c>
      <c r="T1" s="84" t="s">
        <v>45</v>
      </c>
      <c r="U1" s="84" t="s">
        <v>75</v>
      </c>
      <c r="V1" s="84" t="s">
        <v>45</v>
      </c>
      <c r="W1" s="84" t="s">
        <v>69</v>
      </c>
      <c r="X1" s="84" t="s">
        <v>45</v>
      </c>
      <c r="Y1" s="84" t="s">
        <v>68</v>
      </c>
      <c r="Z1" s="84" t="s">
        <v>45</v>
      </c>
      <c r="AA1" s="84" t="s">
        <v>67</v>
      </c>
    </row>
    <row r="2" spans="1:27">
      <c r="A2" s="81" t="s">
        <v>56</v>
      </c>
      <c r="B2" s="69">
        <v>4.9059999999999997</v>
      </c>
      <c r="C2" s="69">
        <v>4.91</v>
      </c>
      <c r="D2" s="69">
        <v>4.9169999999999998</v>
      </c>
      <c r="E2" s="70">
        <v>0.996</v>
      </c>
      <c r="F2" s="70">
        <v>1.012</v>
      </c>
      <c r="G2" s="71">
        <v>1.089</v>
      </c>
      <c r="I2" s="68" t="s">
        <v>61</v>
      </c>
      <c r="J2" s="62">
        <v>1.04</v>
      </c>
      <c r="K2" s="88">
        <v>4.8899999999999997</v>
      </c>
      <c r="L2" s="62">
        <v>1.04</v>
      </c>
      <c r="M2" s="88">
        <v>4.8230000000000004</v>
      </c>
      <c r="N2" s="62">
        <v>1.0580000000000001</v>
      </c>
      <c r="O2" s="88">
        <v>4.7789999999999999</v>
      </c>
      <c r="P2" s="62">
        <v>1.06</v>
      </c>
      <c r="Q2" s="88">
        <v>4.7709999999999999</v>
      </c>
      <c r="R2" s="62">
        <v>1.0509999999999999</v>
      </c>
      <c r="S2" s="88">
        <v>4.7619999999999996</v>
      </c>
      <c r="T2" s="62">
        <v>0.94699999999999995</v>
      </c>
      <c r="U2" s="88">
        <v>4.7169999999999996</v>
      </c>
      <c r="V2" s="62">
        <v>1.0089999999999999</v>
      </c>
      <c r="W2" s="88">
        <v>4.7</v>
      </c>
      <c r="X2" s="62">
        <v>1.024</v>
      </c>
      <c r="Y2" s="88">
        <v>4.7</v>
      </c>
      <c r="Z2" s="62">
        <v>1.0309999999999999</v>
      </c>
      <c r="AA2" s="88">
        <v>4.6879999999999997</v>
      </c>
    </row>
    <row r="3" spans="1:27">
      <c r="A3" s="81" t="s">
        <v>55</v>
      </c>
      <c r="B3" s="69">
        <v>4.907</v>
      </c>
      <c r="C3" s="69">
        <v>4.8979999999999997</v>
      </c>
      <c r="D3" s="69">
        <v>4.915</v>
      </c>
      <c r="E3" s="70">
        <v>1.0109999999999999</v>
      </c>
      <c r="F3" s="70">
        <v>0.995</v>
      </c>
      <c r="G3" s="71">
        <v>1.081</v>
      </c>
      <c r="I3" s="68" t="s">
        <v>60</v>
      </c>
      <c r="J3" s="62">
        <v>1.04</v>
      </c>
      <c r="K3" s="88">
        <v>4.8819999999999988</v>
      </c>
      <c r="L3" s="62">
        <v>1.026</v>
      </c>
      <c r="M3" s="88">
        <v>4.8159999999999998</v>
      </c>
      <c r="N3" s="62">
        <v>1.085</v>
      </c>
      <c r="O3" s="88">
        <v>4.78</v>
      </c>
      <c r="P3" s="62">
        <v>1.048</v>
      </c>
      <c r="Q3" s="88">
        <v>4.774</v>
      </c>
      <c r="R3" s="62">
        <v>1.075</v>
      </c>
      <c r="S3" s="88">
        <v>4.7569999999999997</v>
      </c>
      <c r="T3" s="62">
        <v>1.0620000000000001</v>
      </c>
      <c r="U3" s="88">
        <v>4.7290000000000001</v>
      </c>
      <c r="V3" s="62">
        <v>1.0249999999999999</v>
      </c>
      <c r="W3" s="88">
        <v>4.7050000000000001</v>
      </c>
      <c r="X3" s="62">
        <v>1.03</v>
      </c>
      <c r="Y3" s="88">
        <v>4.6849999999999996</v>
      </c>
      <c r="Z3" s="62">
        <v>1.038</v>
      </c>
      <c r="AA3" s="88">
        <v>4.6909999999999998</v>
      </c>
    </row>
    <row r="4" spans="1:27">
      <c r="A4" s="81" t="s">
        <v>54</v>
      </c>
      <c r="B4" s="69">
        <v>4.9009999999999998</v>
      </c>
      <c r="C4" s="69">
        <v>4.9089999999999998</v>
      </c>
      <c r="D4" s="69">
        <v>4.9169999999999998</v>
      </c>
      <c r="E4" s="70">
        <v>1.0069999999999999</v>
      </c>
      <c r="F4" s="70">
        <v>0.96799999999999997</v>
      </c>
      <c r="G4" s="71">
        <v>1.048</v>
      </c>
      <c r="I4" s="68" t="s">
        <v>59</v>
      </c>
      <c r="J4" s="62">
        <v>1.0085714285714287</v>
      </c>
      <c r="K4" s="88">
        <v>4.883</v>
      </c>
      <c r="L4" s="62">
        <v>1.0085714285714287</v>
      </c>
      <c r="M4" s="88">
        <v>4.8090000000000002</v>
      </c>
      <c r="N4" s="62">
        <v>1.0289999999999999</v>
      </c>
      <c r="O4" s="88">
        <v>4.7830000000000004</v>
      </c>
      <c r="P4" s="62">
        <v>1.08</v>
      </c>
      <c r="Q4" s="88">
        <v>4.7729999999999997</v>
      </c>
      <c r="R4" s="62">
        <v>1.0489999999999999</v>
      </c>
      <c r="S4" s="88">
        <v>4.7569999999999997</v>
      </c>
      <c r="T4" s="62">
        <v>1.0109999999999999</v>
      </c>
      <c r="U4" s="88">
        <v>4.71</v>
      </c>
      <c r="V4" s="62">
        <v>1.42</v>
      </c>
      <c r="W4" s="88">
        <v>4.7039999999999997</v>
      </c>
      <c r="X4" s="62">
        <v>1.0529999999999999</v>
      </c>
      <c r="Y4" s="88">
        <v>4.6929999999999996</v>
      </c>
      <c r="Z4" s="62">
        <v>1.0509999999999999</v>
      </c>
      <c r="AA4" s="88">
        <v>4.6900000000000004</v>
      </c>
    </row>
    <row r="5" spans="1:27">
      <c r="A5" s="81" t="s">
        <v>53</v>
      </c>
      <c r="B5" s="69">
        <v>4.8970000000000002</v>
      </c>
      <c r="C5" s="69">
        <v>4.9009999999999998</v>
      </c>
      <c r="D5" s="69">
        <v>4.915</v>
      </c>
      <c r="E5" s="70">
        <v>0.97799999999999998</v>
      </c>
      <c r="F5" s="70">
        <v>0.98899999999999999</v>
      </c>
      <c r="G5" s="71">
        <v>1.0660000000000001</v>
      </c>
      <c r="I5" s="68" t="s">
        <v>58</v>
      </c>
      <c r="J5" s="62">
        <v>1.0109999999999999</v>
      </c>
      <c r="K5" s="88">
        <v>4.8890000000000002</v>
      </c>
      <c r="L5" s="62">
        <v>1.0369999999999999</v>
      </c>
      <c r="M5" s="88">
        <v>4.8220000000000001</v>
      </c>
      <c r="N5" s="62">
        <v>1.0649999999999999</v>
      </c>
      <c r="O5" s="88">
        <v>4.7779999999999996</v>
      </c>
      <c r="P5" s="62">
        <v>1.075</v>
      </c>
      <c r="Q5" s="88">
        <v>4.7720000000000002</v>
      </c>
      <c r="R5" s="62">
        <v>1.042</v>
      </c>
      <c r="S5" s="88">
        <v>4.7590000000000003</v>
      </c>
      <c r="T5" s="62">
        <v>1.119</v>
      </c>
      <c r="U5" s="88">
        <v>4.7320000000000002</v>
      </c>
      <c r="V5" s="62">
        <v>1.04</v>
      </c>
      <c r="W5" s="88">
        <v>4.7030000000000003</v>
      </c>
      <c r="X5" s="62">
        <v>1</v>
      </c>
      <c r="Y5" s="88">
        <v>4.6859999999999999</v>
      </c>
      <c r="Z5" s="62">
        <v>1.081</v>
      </c>
      <c r="AA5" s="88">
        <v>4.6890000000000001</v>
      </c>
    </row>
    <row r="6" spans="1:27">
      <c r="A6" s="81" t="s">
        <v>52</v>
      </c>
      <c r="B6" s="69">
        <v>4.8979999999999997</v>
      </c>
      <c r="C6" s="69">
        <v>4.9109999999999996</v>
      </c>
      <c r="D6" s="69">
        <v>4.9240000000000004</v>
      </c>
      <c r="E6" s="70">
        <v>0.97899999999999998</v>
      </c>
      <c r="F6" s="70">
        <v>0.99</v>
      </c>
      <c r="G6" s="71">
        <v>1.0580000000000001</v>
      </c>
      <c r="I6" s="68" t="s">
        <v>30</v>
      </c>
      <c r="J6" s="65">
        <f t="shared" ref="J6:AA6" si="0">AVERAGE(J2:J5)</f>
        <v>1.0248928571428573</v>
      </c>
      <c r="K6" s="81">
        <f t="shared" si="0"/>
        <v>4.8859999999999992</v>
      </c>
      <c r="L6" s="65">
        <f t="shared" si="0"/>
        <v>1.0278928571428572</v>
      </c>
      <c r="M6" s="81">
        <f t="shared" si="0"/>
        <v>4.8174999999999999</v>
      </c>
      <c r="N6" s="65">
        <f t="shared" si="0"/>
        <v>1.05925</v>
      </c>
      <c r="O6" s="81">
        <f t="shared" si="0"/>
        <v>4.78</v>
      </c>
      <c r="P6" s="65">
        <f t="shared" si="0"/>
        <v>1.06575</v>
      </c>
      <c r="Q6" s="81">
        <f t="shared" si="0"/>
        <v>4.7725</v>
      </c>
      <c r="R6" s="65">
        <f t="shared" si="0"/>
        <v>1.0542499999999999</v>
      </c>
      <c r="S6" s="81">
        <f t="shared" si="0"/>
        <v>4.7587499999999991</v>
      </c>
      <c r="T6" s="65">
        <f t="shared" si="0"/>
        <v>1.0347499999999998</v>
      </c>
      <c r="U6" s="81">
        <f t="shared" si="0"/>
        <v>4.7219999999999995</v>
      </c>
      <c r="V6" s="65">
        <f t="shared" si="0"/>
        <v>1.1234999999999999</v>
      </c>
      <c r="W6" s="81">
        <f t="shared" si="0"/>
        <v>4.7030000000000003</v>
      </c>
      <c r="X6" s="65">
        <f t="shared" si="0"/>
        <v>1.0267500000000001</v>
      </c>
      <c r="Y6" s="81">
        <f t="shared" si="0"/>
        <v>4.6909999999999998</v>
      </c>
      <c r="Z6" s="65">
        <f t="shared" si="0"/>
        <v>1.0502500000000001</v>
      </c>
      <c r="AA6" s="81">
        <f t="shared" si="0"/>
        <v>4.6894999999999998</v>
      </c>
    </row>
    <row r="7" spans="1:27">
      <c r="A7" s="81" t="s">
        <v>51</v>
      </c>
      <c r="B7" s="69">
        <v>4.8959999999999999</v>
      </c>
      <c r="C7" s="69">
        <v>4.8959999999999999</v>
      </c>
      <c r="D7" s="69">
        <v>4.9260000000000002</v>
      </c>
      <c r="E7" s="70">
        <v>1.034</v>
      </c>
      <c r="F7" s="70">
        <v>0.98499999999999999</v>
      </c>
      <c r="G7" s="71">
        <v>1.0409999999999999</v>
      </c>
      <c r="I7" s="68" t="s">
        <v>29</v>
      </c>
      <c r="J7" s="65">
        <f t="shared" ref="J7:AA7" si="1">STDEV(J2:J5)</f>
        <v>1.7472378590376376E-2</v>
      </c>
      <c r="K7" s="81">
        <f t="shared" si="1"/>
        <v>4.0824829046389784E-3</v>
      </c>
      <c r="L7" s="65">
        <f t="shared" si="1"/>
        <v>1.4217635403349724E-2</v>
      </c>
      <c r="M7" s="81">
        <f t="shared" si="1"/>
        <v>6.4549722436790967E-3</v>
      </c>
      <c r="N7" s="65">
        <f t="shared" si="1"/>
        <v>2.3185843381971986E-2</v>
      </c>
      <c r="O7" s="81">
        <f t="shared" si="1"/>
        <v>2.1602468994695971E-3</v>
      </c>
      <c r="P7" s="65">
        <f t="shared" si="1"/>
        <v>1.4568802284333453E-2</v>
      </c>
      <c r="Q7" s="81">
        <f t="shared" si="1"/>
        <v>1.2909944487357783E-3</v>
      </c>
      <c r="R7" s="65">
        <f t="shared" si="1"/>
        <v>1.4361406616345053E-2</v>
      </c>
      <c r="S7" s="81">
        <f t="shared" si="1"/>
        <v>2.362907813126279E-3</v>
      </c>
      <c r="T7" s="65">
        <f t="shared" si="1"/>
        <v>7.3268342413350701E-2</v>
      </c>
      <c r="U7" s="81">
        <f t="shared" si="1"/>
        <v>1.029563014098716E-2</v>
      </c>
      <c r="V7" s="65">
        <f t="shared" si="1"/>
        <v>0.19807153589885962</v>
      </c>
      <c r="W7" s="81">
        <f t="shared" si="1"/>
        <v>2.160246899469186E-3</v>
      </c>
      <c r="X7" s="65">
        <f t="shared" si="1"/>
        <v>2.1777281740382542E-2</v>
      </c>
      <c r="Y7" s="81">
        <f t="shared" si="1"/>
        <v>6.9761498454856156E-3</v>
      </c>
      <c r="Z7" s="65">
        <f t="shared" si="1"/>
        <v>2.2111460075414889E-2</v>
      </c>
      <c r="AA7" s="81">
        <f t="shared" si="1"/>
        <v>1.2909944487358928E-3</v>
      </c>
    </row>
    <row r="8" spans="1:27">
      <c r="A8" s="81" t="s">
        <v>50</v>
      </c>
      <c r="B8" s="69">
        <v>4.899</v>
      </c>
      <c r="C8" s="69">
        <v>4.8920000000000003</v>
      </c>
      <c r="D8" s="69">
        <v>4.9249999999999998</v>
      </c>
      <c r="E8" s="70">
        <v>0.995</v>
      </c>
      <c r="F8" s="70">
        <v>1.0249999999999999</v>
      </c>
      <c r="G8" s="71">
        <v>1.0549999999999999</v>
      </c>
    </row>
    <row r="9" spans="1:27">
      <c r="A9" s="81" t="s">
        <v>49</v>
      </c>
      <c r="B9" s="69">
        <v>4.9000000000000004</v>
      </c>
      <c r="C9" s="69">
        <v>4.891</v>
      </c>
      <c r="D9" s="69">
        <v>4.9290000000000003</v>
      </c>
      <c r="E9" s="70">
        <v>0.98799999999999999</v>
      </c>
      <c r="F9" s="70">
        <v>0.97499999999999998</v>
      </c>
      <c r="G9" s="71">
        <v>0.94099999999999995</v>
      </c>
      <c r="I9" s="68" t="s">
        <v>66</v>
      </c>
      <c r="J9" s="82" t="s">
        <v>64</v>
      </c>
      <c r="K9" s="84" t="s">
        <v>82</v>
      </c>
      <c r="L9" s="82" t="s">
        <v>64</v>
      </c>
      <c r="M9" s="84" t="s">
        <v>81</v>
      </c>
      <c r="N9" s="82" t="s">
        <v>64</v>
      </c>
      <c r="O9" s="84" t="s">
        <v>80</v>
      </c>
      <c r="P9" s="82" t="s">
        <v>64</v>
      </c>
      <c r="Q9" s="84" t="s">
        <v>79</v>
      </c>
      <c r="R9" s="82" t="s">
        <v>64</v>
      </c>
      <c r="S9" s="84" t="s">
        <v>78</v>
      </c>
      <c r="T9" s="82" t="s">
        <v>64</v>
      </c>
      <c r="U9" s="84" t="s">
        <v>77</v>
      </c>
      <c r="V9" s="82" t="s">
        <v>64</v>
      </c>
      <c r="W9" s="84" t="s">
        <v>84</v>
      </c>
      <c r="X9" s="82" t="s">
        <v>64</v>
      </c>
      <c r="Y9" s="84" t="s">
        <v>76</v>
      </c>
      <c r="Z9" s="82" t="s">
        <v>64</v>
      </c>
      <c r="AA9" s="84" t="s">
        <v>83</v>
      </c>
    </row>
    <row r="10" spans="1:27">
      <c r="A10" s="81" t="s">
        <v>48</v>
      </c>
      <c r="B10" s="69">
        <v>4.8959999999999999</v>
      </c>
      <c r="C10" s="69">
        <v>4.8879999999999999</v>
      </c>
      <c r="D10" s="69">
        <v>4.9829999999999997</v>
      </c>
      <c r="E10" s="70">
        <v>0.98399999999999999</v>
      </c>
      <c r="F10" s="70">
        <v>0.99099999999999999</v>
      </c>
      <c r="G10" s="71">
        <v>1.083</v>
      </c>
      <c r="I10" s="68" t="s">
        <v>61</v>
      </c>
      <c r="J10" s="63">
        <v>1.016</v>
      </c>
      <c r="K10" s="89">
        <v>4.6390000000000002</v>
      </c>
      <c r="L10" s="63">
        <v>1.0489999999999999</v>
      </c>
      <c r="M10" s="89">
        <v>4.6139999999999999</v>
      </c>
      <c r="N10" s="63">
        <v>1.05</v>
      </c>
      <c r="O10" s="89">
        <v>4.6059999999999999</v>
      </c>
      <c r="P10" s="63">
        <v>1.0489999999999999</v>
      </c>
      <c r="Q10" s="89">
        <v>4.5940000000000003</v>
      </c>
      <c r="R10" s="63">
        <v>1.022</v>
      </c>
      <c r="S10" s="89">
        <v>4.5919999999999996</v>
      </c>
      <c r="T10" s="63">
        <v>1.036</v>
      </c>
      <c r="U10" s="89">
        <v>4.5739999999999998</v>
      </c>
      <c r="V10" s="63">
        <v>1.05</v>
      </c>
      <c r="W10" s="89">
        <v>4.5789999999999997</v>
      </c>
      <c r="X10" s="63">
        <v>1.038</v>
      </c>
      <c r="Y10" s="89">
        <v>4.569</v>
      </c>
      <c r="Z10" s="63">
        <v>1.038</v>
      </c>
      <c r="AA10" s="89">
        <v>4.5679999999999996</v>
      </c>
    </row>
    <row r="11" spans="1:27">
      <c r="A11" s="81" t="s">
        <v>47</v>
      </c>
      <c r="B11" s="69">
        <v>4.9130000000000003</v>
      </c>
      <c r="C11" s="69">
        <v>4.899</v>
      </c>
      <c r="D11" s="69">
        <v>5.0069999999999997</v>
      </c>
      <c r="E11" s="70">
        <v>1.0029999999999999</v>
      </c>
      <c r="F11" s="70">
        <v>0.98099999999999998</v>
      </c>
      <c r="G11" s="71">
        <v>1.079</v>
      </c>
      <c r="I11" s="68" t="s">
        <v>60</v>
      </c>
      <c r="J11" s="63">
        <v>1.038</v>
      </c>
      <c r="K11" s="89">
        <v>4.6360000000000001</v>
      </c>
      <c r="L11" s="63">
        <v>1.0580000000000001</v>
      </c>
      <c r="M11" s="89">
        <v>4.6159999999999997</v>
      </c>
      <c r="N11" s="63">
        <v>1.0349999999999999</v>
      </c>
      <c r="O11" s="89">
        <v>4.609</v>
      </c>
      <c r="P11" s="63">
        <v>1.0640000000000001</v>
      </c>
      <c r="Q11" s="89">
        <v>4.6020000000000003</v>
      </c>
      <c r="R11" s="63">
        <v>1.0640000000000001</v>
      </c>
      <c r="S11" s="89">
        <v>4.5830000000000002</v>
      </c>
      <c r="T11" s="63">
        <v>1.0309999999999999</v>
      </c>
      <c r="U11" s="89">
        <v>4.5819999999999999</v>
      </c>
      <c r="V11" s="63">
        <v>1.02</v>
      </c>
      <c r="W11" s="89">
        <v>4.5789999999999997</v>
      </c>
      <c r="X11" s="63">
        <v>1.026</v>
      </c>
      <c r="Y11" s="89">
        <v>4.57</v>
      </c>
      <c r="Z11" s="63">
        <v>1.0469999999999999</v>
      </c>
      <c r="AA11" s="89">
        <v>4.5739999999999998</v>
      </c>
    </row>
    <row r="12" spans="1:27">
      <c r="A12" s="81" t="s">
        <v>46</v>
      </c>
      <c r="B12" s="69">
        <v>4.9000000000000004</v>
      </c>
      <c r="C12" s="69">
        <v>4.9000000000000004</v>
      </c>
      <c r="D12" s="69">
        <v>5.0110000000000001</v>
      </c>
      <c r="E12" s="70">
        <v>0.97499999999999998</v>
      </c>
      <c r="F12" s="70">
        <v>0.995</v>
      </c>
      <c r="G12" s="71">
        <v>1.069</v>
      </c>
      <c r="I12" s="68" t="s">
        <v>59</v>
      </c>
      <c r="J12" s="63">
        <v>1.038</v>
      </c>
      <c r="K12" s="89">
        <v>4.6390000000000002</v>
      </c>
      <c r="L12" s="63">
        <v>1.0609999999999999</v>
      </c>
      <c r="M12" s="89">
        <v>4.6189999999999998</v>
      </c>
      <c r="N12" s="63">
        <v>1.032</v>
      </c>
      <c r="O12" s="89">
        <v>4.6029999999999998</v>
      </c>
      <c r="P12" s="63">
        <v>1.0129999999999999</v>
      </c>
      <c r="Q12" s="89">
        <v>4.5919999999999996</v>
      </c>
      <c r="R12" s="63">
        <v>1.0429999999999999</v>
      </c>
      <c r="S12" s="89">
        <v>4.5869999999999997</v>
      </c>
      <c r="T12" s="63">
        <v>1.0489999999999999</v>
      </c>
      <c r="U12" s="89">
        <v>4.5789999999999997</v>
      </c>
      <c r="V12" s="63">
        <v>1.054</v>
      </c>
      <c r="W12" s="89">
        <v>4.577</v>
      </c>
      <c r="X12" s="63">
        <v>1.022</v>
      </c>
      <c r="Y12" s="89">
        <v>4.5759999999999996</v>
      </c>
      <c r="Z12" s="63">
        <v>1.0289999999999999</v>
      </c>
      <c r="AA12" s="89">
        <v>4.569</v>
      </c>
    </row>
    <row r="13" spans="1:27">
      <c r="A13" s="81" t="s">
        <v>44</v>
      </c>
      <c r="B13" s="69">
        <v>4.9029999999999996</v>
      </c>
      <c r="C13" s="69">
        <v>4.8979999999999997</v>
      </c>
      <c r="D13" s="69">
        <v>5.0129999999999999</v>
      </c>
      <c r="E13" s="70">
        <v>1.0049999999999999</v>
      </c>
      <c r="F13" s="70">
        <v>1.0029999999999999</v>
      </c>
      <c r="G13" s="71">
        <v>1.087</v>
      </c>
      <c r="I13" s="68" t="s">
        <v>58</v>
      </c>
      <c r="J13" s="63">
        <v>1.022</v>
      </c>
      <c r="K13" s="89">
        <v>4.641</v>
      </c>
      <c r="L13" s="63">
        <v>1.054</v>
      </c>
      <c r="M13" s="89">
        <v>4.6239999999999997</v>
      </c>
      <c r="N13" s="63">
        <v>1.0389999999999999</v>
      </c>
      <c r="O13" s="89">
        <v>4.6020000000000003</v>
      </c>
      <c r="P13" s="63">
        <v>1.0389999999999999</v>
      </c>
      <c r="Q13" s="89">
        <v>4.5970000000000004</v>
      </c>
      <c r="R13" s="63">
        <v>1.016</v>
      </c>
      <c r="S13" s="89">
        <v>4.5860000000000003</v>
      </c>
      <c r="T13" s="63">
        <v>1.0720000000000001</v>
      </c>
      <c r="U13" s="89">
        <v>4.5819999999999999</v>
      </c>
      <c r="V13" s="63">
        <v>1.036</v>
      </c>
      <c r="W13" s="89">
        <v>4.5739999999999998</v>
      </c>
      <c r="X13" s="63">
        <v>1.0569999999999999</v>
      </c>
      <c r="Y13" s="89">
        <v>4.5709999999999997</v>
      </c>
      <c r="Z13" s="63">
        <v>1.0469999999999999</v>
      </c>
      <c r="AA13" s="89">
        <v>4.5730000000000004</v>
      </c>
    </row>
    <row r="14" spans="1:27">
      <c r="A14" s="81" t="s">
        <v>43</v>
      </c>
      <c r="B14" s="69">
        <v>4.8869999999999996</v>
      </c>
      <c r="C14" s="69">
        <v>4.9059999999999997</v>
      </c>
      <c r="D14" s="69">
        <v>4.9960000000000004</v>
      </c>
      <c r="E14" s="70">
        <v>0.98199999999999998</v>
      </c>
      <c r="F14" s="70">
        <v>1.0109999999999999</v>
      </c>
      <c r="G14" s="71">
        <v>1.06</v>
      </c>
      <c r="I14" s="68" t="s">
        <v>30</v>
      </c>
      <c r="J14" s="81">
        <f t="shared" ref="J14:AA14" si="2">AVERAGE(J10:J13)</f>
        <v>1.0285000000000002</v>
      </c>
      <c r="K14" s="81">
        <f t="shared" si="2"/>
        <v>4.6387499999999999</v>
      </c>
      <c r="L14" s="81">
        <f t="shared" si="2"/>
        <v>1.0555000000000001</v>
      </c>
      <c r="M14" s="81">
        <f t="shared" si="2"/>
        <v>4.6182499999999997</v>
      </c>
      <c r="N14" s="81">
        <f t="shared" si="2"/>
        <v>1.0389999999999999</v>
      </c>
      <c r="O14" s="81">
        <f t="shared" si="2"/>
        <v>4.6050000000000004</v>
      </c>
      <c r="P14" s="81">
        <f t="shared" si="2"/>
        <v>1.04125</v>
      </c>
      <c r="Q14" s="81">
        <f t="shared" si="2"/>
        <v>4.5962500000000004</v>
      </c>
      <c r="R14" s="81">
        <f t="shared" si="2"/>
        <v>1.0362500000000001</v>
      </c>
      <c r="S14" s="81">
        <f t="shared" si="2"/>
        <v>4.5869999999999997</v>
      </c>
      <c r="T14" s="81">
        <f t="shared" si="2"/>
        <v>1.0470000000000002</v>
      </c>
      <c r="U14" s="81">
        <f t="shared" si="2"/>
        <v>4.57925</v>
      </c>
      <c r="V14" s="81">
        <f t="shared" si="2"/>
        <v>1.04</v>
      </c>
      <c r="W14" s="81">
        <f t="shared" si="2"/>
        <v>4.5772499999999994</v>
      </c>
      <c r="X14" s="81">
        <f t="shared" si="2"/>
        <v>1.0357500000000002</v>
      </c>
      <c r="Y14" s="81">
        <f t="shared" si="2"/>
        <v>4.5715000000000003</v>
      </c>
      <c r="Z14" s="81">
        <f t="shared" si="2"/>
        <v>1.0402499999999999</v>
      </c>
      <c r="AA14" s="81">
        <f t="shared" si="2"/>
        <v>4.5709999999999997</v>
      </c>
    </row>
    <row r="15" spans="1:27">
      <c r="A15" s="81" t="s">
        <v>42</v>
      </c>
      <c r="B15" s="69">
        <v>4.9009999999999998</v>
      </c>
      <c r="C15" s="69">
        <v>4.9039999999999999</v>
      </c>
      <c r="D15" s="69">
        <v>4.9969999999999999</v>
      </c>
      <c r="E15" s="70">
        <v>0.98499999999999999</v>
      </c>
      <c r="F15" s="70">
        <v>0.98199999999999998</v>
      </c>
      <c r="G15" s="71">
        <v>1.071</v>
      </c>
      <c r="I15" s="68" t="s">
        <v>29</v>
      </c>
      <c r="J15" s="81">
        <f t="shared" ref="J15:AA15" si="3">STDEV(J10:J13)</f>
        <v>1.1239810200058252E-2</v>
      </c>
      <c r="K15" s="81">
        <f t="shared" si="3"/>
        <v>2.0615528128088006E-3</v>
      </c>
      <c r="L15" s="81">
        <f t="shared" si="3"/>
        <v>5.1961524227066439E-3</v>
      </c>
      <c r="M15" s="81">
        <f t="shared" si="3"/>
        <v>4.3493294502332342E-3</v>
      </c>
      <c r="N15" s="81">
        <f t="shared" si="3"/>
        <v>7.8740078740118374E-3</v>
      </c>
      <c r="O15" s="81">
        <f t="shared" si="3"/>
        <v>3.1622776601683122E-3</v>
      </c>
      <c r="P15" s="81">
        <f t="shared" si="3"/>
        <v>2.1453437952924991E-2</v>
      </c>
      <c r="Q15" s="81">
        <f t="shared" si="3"/>
        <v>4.3493294502335231E-3</v>
      </c>
      <c r="R15" s="81">
        <f t="shared" si="3"/>
        <v>2.1823152842795204E-2</v>
      </c>
      <c r="S15" s="81">
        <f t="shared" si="3"/>
        <v>3.741657386773688E-3</v>
      </c>
      <c r="T15" s="81">
        <f t="shared" si="3"/>
        <v>1.8312108926427206E-2</v>
      </c>
      <c r="U15" s="81">
        <f t="shared" si="3"/>
        <v>3.7749172176353807E-3</v>
      </c>
      <c r="V15" s="81">
        <f t="shared" si="3"/>
        <v>1.5405626677721804E-2</v>
      </c>
      <c r="W15" s="81">
        <f t="shared" si="3"/>
        <v>2.3629078131262478E-3</v>
      </c>
      <c r="X15" s="81">
        <f t="shared" si="3"/>
        <v>1.5713582235335949E-2</v>
      </c>
      <c r="Y15" s="81">
        <f t="shared" si="3"/>
        <v>3.1091263510294054E-3</v>
      </c>
      <c r="Z15" s="81">
        <f t="shared" si="3"/>
        <v>8.616843969807041E-3</v>
      </c>
      <c r="AA15" s="81">
        <f t="shared" si="3"/>
        <v>2.9439202887761276E-3</v>
      </c>
    </row>
    <row r="16" spans="1:27">
      <c r="A16" s="81" t="s">
        <v>41</v>
      </c>
      <c r="B16" s="69">
        <v>4.88</v>
      </c>
      <c r="C16" s="69">
        <v>4.899</v>
      </c>
      <c r="D16" s="69">
        <v>5.0019999999999998</v>
      </c>
      <c r="E16" s="70">
        <v>0.98599999999999999</v>
      </c>
      <c r="F16" s="70">
        <v>0.98399999999999999</v>
      </c>
      <c r="G16" s="71">
        <v>1.0609999999999999</v>
      </c>
      <c r="J16" s="51"/>
      <c r="W16" s="51"/>
      <c r="X16" s="51"/>
    </row>
    <row r="17" spans="1:33">
      <c r="A17" s="81" t="s">
        <v>40</v>
      </c>
      <c r="B17" s="69">
        <v>4.8940000000000001</v>
      </c>
      <c r="C17" s="69">
        <v>4.9020000000000001</v>
      </c>
      <c r="D17" s="69">
        <v>5</v>
      </c>
      <c r="E17" s="70">
        <v>1.012</v>
      </c>
      <c r="F17" s="70">
        <v>0.99399999999999999</v>
      </c>
      <c r="G17" s="71">
        <v>1.0649999999999999</v>
      </c>
      <c r="J17" s="64" t="s">
        <v>57</v>
      </c>
      <c r="K17" s="64" t="s">
        <v>85</v>
      </c>
      <c r="L17" s="64" t="s">
        <v>29</v>
      </c>
      <c r="M17" s="52"/>
    </row>
    <row r="18" spans="1:33">
      <c r="A18" s="81" t="s">
        <v>39</v>
      </c>
      <c r="B18" s="69">
        <v>4.9050000000000002</v>
      </c>
      <c r="C18" s="69">
        <v>4.9000000000000004</v>
      </c>
      <c r="D18" s="69">
        <v>4.9169999999999998</v>
      </c>
      <c r="E18" s="70">
        <v>1.018</v>
      </c>
      <c r="F18" s="70">
        <v>0.997</v>
      </c>
      <c r="G18" s="71">
        <v>1.089</v>
      </c>
      <c r="J18" s="67">
        <v>0</v>
      </c>
      <c r="K18" s="65">
        <f>B27</f>
        <v>4.9148761111111101</v>
      </c>
      <c r="L18" s="65">
        <f>B28</f>
        <v>3.2472167694809047E-2</v>
      </c>
      <c r="M18" s="52"/>
    </row>
    <row r="19" spans="1:33">
      <c r="A19" s="81" t="s">
        <v>38</v>
      </c>
      <c r="B19" s="69">
        <v>4.8920000000000003</v>
      </c>
      <c r="C19" s="69">
        <v>4.8959999999999999</v>
      </c>
      <c r="D19" s="69">
        <v>4.915</v>
      </c>
      <c r="E19" s="70">
        <v>1</v>
      </c>
      <c r="F19" s="70">
        <v>0.97</v>
      </c>
      <c r="G19" s="71">
        <v>1.081</v>
      </c>
      <c r="J19" s="67">
        <v>0.25</v>
      </c>
      <c r="K19" s="65">
        <f>K6</f>
        <v>4.8859999999999992</v>
      </c>
      <c r="L19" s="65">
        <f>K7</f>
        <v>4.0824829046389784E-3</v>
      </c>
    </row>
    <row r="20" spans="1:33">
      <c r="A20" s="81" t="s">
        <v>37</v>
      </c>
      <c r="B20" s="69">
        <v>4.8899999999999997</v>
      </c>
      <c r="C20" s="69">
        <v>4.8970000000000002</v>
      </c>
      <c r="D20" s="69">
        <v>4.9169999999999998</v>
      </c>
      <c r="E20" s="70">
        <v>0.999</v>
      </c>
      <c r="F20" s="70">
        <v>0.99099999999999999</v>
      </c>
      <c r="G20" s="71">
        <v>1.048</v>
      </c>
      <c r="J20" s="67">
        <v>0.5</v>
      </c>
      <c r="K20" s="65">
        <f>M6</f>
        <v>4.8174999999999999</v>
      </c>
      <c r="L20" s="65">
        <f>M7</f>
        <v>6.4549722436790967E-3</v>
      </c>
      <c r="M20" s="52"/>
    </row>
    <row r="21" spans="1:33">
      <c r="A21" s="81" t="s">
        <v>36</v>
      </c>
      <c r="B21" s="69">
        <v>4.9050000000000002</v>
      </c>
      <c r="C21" s="69">
        <v>4.8949999999999996</v>
      </c>
      <c r="D21" s="69">
        <v>4.915</v>
      </c>
      <c r="E21" s="70">
        <v>1.0009999999999999</v>
      </c>
      <c r="F21" s="70">
        <v>0.97799999999999998</v>
      </c>
      <c r="G21" s="71">
        <v>1.0660000000000001</v>
      </c>
      <c r="J21" s="67">
        <v>0.75</v>
      </c>
      <c r="K21" s="65">
        <f>O6</f>
        <v>4.78</v>
      </c>
      <c r="L21" s="65">
        <f>O7</f>
        <v>2.1602468994695971E-3</v>
      </c>
      <c r="M21" s="52"/>
    </row>
    <row r="22" spans="1:33">
      <c r="A22" s="81" t="s">
        <v>35</v>
      </c>
      <c r="B22" s="69">
        <v>4.899</v>
      </c>
      <c r="C22" s="69">
        <v>4.8929999999999998</v>
      </c>
      <c r="D22" s="69">
        <v>4.9240000000000004</v>
      </c>
      <c r="E22" s="70">
        <v>0.996</v>
      </c>
      <c r="F22" s="70">
        <v>1.0309999999999999</v>
      </c>
      <c r="G22" s="71">
        <v>1.0580000000000001</v>
      </c>
      <c r="J22" s="67">
        <v>0.875</v>
      </c>
      <c r="K22" s="65">
        <f>Q6</f>
        <v>4.7725</v>
      </c>
      <c r="L22" s="65">
        <f>Q7</f>
        <v>1.2909944487357783E-3</v>
      </c>
      <c r="M22" s="52"/>
    </row>
    <row r="23" spans="1:33">
      <c r="A23" s="81" t="s">
        <v>34</v>
      </c>
      <c r="B23" s="69">
        <v>4.8979999999999997</v>
      </c>
      <c r="C23" s="69">
        <v>4.8810000000000002</v>
      </c>
      <c r="D23" s="69">
        <v>4.9260000000000002</v>
      </c>
      <c r="E23" s="70">
        <v>0.99</v>
      </c>
      <c r="F23" s="70">
        <v>0.97799999999999998</v>
      </c>
      <c r="G23" s="71">
        <v>1.0409999999999999</v>
      </c>
      <c r="J23" s="67">
        <v>1</v>
      </c>
      <c r="K23" s="65">
        <f>S6</f>
        <v>4.7587499999999991</v>
      </c>
      <c r="L23" s="65">
        <f>S7</f>
        <v>2.362907813126279E-3</v>
      </c>
      <c r="M23" s="52"/>
    </row>
    <row r="24" spans="1:33">
      <c r="A24" s="81" t="s">
        <v>33</v>
      </c>
      <c r="B24" s="69">
        <v>4.9029999999999996</v>
      </c>
      <c r="C24" s="69">
        <v>4.8959999999999999</v>
      </c>
      <c r="D24" s="69">
        <v>4.9249999999999998</v>
      </c>
      <c r="E24" s="70">
        <v>1.0129999999999999</v>
      </c>
      <c r="F24" s="70">
        <v>0.99099999999999999</v>
      </c>
      <c r="G24" s="71">
        <v>1.0549999999999999</v>
      </c>
      <c r="J24" s="67">
        <v>1.25</v>
      </c>
      <c r="K24" s="65">
        <f>U6</f>
        <v>4.7219999999999995</v>
      </c>
      <c r="L24" s="65">
        <f>U7</f>
        <v>1.029563014098716E-2</v>
      </c>
      <c r="M24" s="52"/>
      <c r="N24" s="51"/>
      <c r="O24" s="51"/>
      <c r="P24" s="51"/>
      <c r="Q24" s="51"/>
    </row>
    <row r="25" spans="1:33">
      <c r="A25" s="81" t="s">
        <v>32</v>
      </c>
      <c r="B25" s="69">
        <v>4.8970000000000002</v>
      </c>
      <c r="C25" s="69">
        <v>4.9039999999999999</v>
      </c>
      <c r="D25" s="69">
        <v>4.9290000000000003</v>
      </c>
      <c r="E25" s="70">
        <v>0.99199999999999999</v>
      </c>
      <c r="F25" s="70">
        <v>0.99299999999999999</v>
      </c>
      <c r="G25" s="71">
        <v>0.94099999999999995</v>
      </c>
      <c r="J25" s="67">
        <v>1.5</v>
      </c>
      <c r="K25" s="65">
        <f>W6</f>
        <v>4.7030000000000003</v>
      </c>
      <c r="L25" s="65">
        <f>W7</f>
        <v>2.160246899469186E-3</v>
      </c>
      <c r="M25" s="52"/>
      <c r="N25" s="51"/>
      <c r="O25" s="51"/>
      <c r="P25" s="51"/>
      <c r="Q25" s="51"/>
    </row>
    <row r="26" spans="1:33">
      <c r="A26" s="81" t="s">
        <v>31</v>
      </c>
      <c r="B26" s="69">
        <v>4.899</v>
      </c>
      <c r="C26" s="69">
        <v>4.891</v>
      </c>
      <c r="D26" s="69">
        <v>4.9477083333333338</v>
      </c>
      <c r="E26" s="70">
        <v>1.01</v>
      </c>
      <c r="F26" s="70">
        <v>0.98199999999999998</v>
      </c>
      <c r="G26" s="69">
        <v>1.0555416666666664</v>
      </c>
      <c r="J26" s="67">
        <v>1.75</v>
      </c>
      <c r="K26" s="65">
        <f>Y6</f>
        <v>4.6909999999999998</v>
      </c>
      <c r="L26" s="65">
        <f>Y7</f>
        <v>6.9761498454856156E-3</v>
      </c>
      <c r="M26" s="52"/>
      <c r="N26" s="51"/>
      <c r="O26" s="51"/>
      <c r="P26" s="51"/>
      <c r="Q26" s="51"/>
    </row>
    <row r="27" spans="1:33">
      <c r="A27" s="76" t="s">
        <v>30</v>
      </c>
      <c r="B27" s="77">
        <f>AVERAGE(B2:D26)</f>
        <v>4.9148761111111101</v>
      </c>
      <c r="C27" s="78"/>
      <c r="D27" s="79"/>
      <c r="E27" s="77">
        <f>AVERAGE(E2:G26)</f>
        <v>1.0149138888888891</v>
      </c>
      <c r="F27" s="79"/>
      <c r="G27" s="78"/>
      <c r="I27" s="51"/>
      <c r="J27" s="67">
        <v>2</v>
      </c>
      <c r="K27" s="65">
        <f>AA6</f>
        <v>4.6894999999999998</v>
      </c>
      <c r="L27" s="65">
        <f>AA7</f>
        <v>1.2909944487358928E-3</v>
      </c>
      <c r="M27" s="52"/>
      <c r="N27" s="51"/>
      <c r="O27" s="51"/>
      <c r="P27" s="51"/>
      <c r="Q27" s="51"/>
    </row>
    <row r="28" spans="1:33">
      <c r="A28" s="76" t="s">
        <v>29</v>
      </c>
      <c r="B28" s="77">
        <f>STDEV(B2:D26)</f>
        <v>3.2472167694809047E-2</v>
      </c>
      <c r="C28" s="79"/>
      <c r="D28" s="79"/>
      <c r="E28" s="77">
        <f>STDEV(E2:G26)</f>
        <v>3.7905656463342208E-2</v>
      </c>
      <c r="F28" s="79"/>
      <c r="G28" s="78"/>
      <c r="I28" s="51"/>
      <c r="J28" s="67">
        <v>4</v>
      </c>
      <c r="K28" s="65">
        <f>K14</f>
        <v>4.6387499999999999</v>
      </c>
      <c r="L28" s="65">
        <f>K15</f>
        <v>2.0615528128088006E-3</v>
      </c>
    </row>
    <row r="29" spans="1:33">
      <c r="J29" s="67">
        <v>5.18</v>
      </c>
      <c r="K29" s="65">
        <f>M14</f>
        <v>4.6182499999999997</v>
      </c>
      <c r="L29" s="65">
        <f>M15</f>
        <v>4.3493294502332342E-3</v>
      </c>
      <c r="M29" s="52"/>
      <c r="N29" s="52"/>
      <c r="O29" s="52"/>
      <c r="P29" s="52"/>
      <c r="Q29" s="52"/>
    </row>
    <row r="30" spans="1:33">
      <c r="A30" s="87" t="s">
        <v>66</v>
      </c>
      <c r="B30" s="80" t="s">
        <v>65</v>
      </c>
      <c r="C30" s="80" t="s">
        <v>65</v>
      </c>
      <c r="D30" s="82" t="s">
        <v>64</v>
      </c>
      <c r="E30" s="83" t="s">
        <v>63</v>
      </c>
      <c r="J30" s="67">
        <v>7</v>
      </c>
      <c r="K30" s="65">
        <f>O14</f>
        <v>4.6050000000000004</v>
      </c>
      <c r="L30" s="65">
        <f>O15</f>
        <v>3.1622776601683122E-3</v>
      </c>
      <c r="M30" s="52"/>
      <c r="N30" s="52"/>
      <c r="O30" s="52"/>
      <c r="P30" s="52"/>
      <c r="Q30" s="52"/>
    </row>
    <row r="31" spans="1:33" ht="14.4">
      <c r="A31" s="81" t="s">
        <v>56</v>
      </c>
      <c r="B31" s="72">
        <v>4.5599999999999996</v>
      </c>
      <c r="C31" s="73">
        <v>4.5549999999999997</v>
      </c>
      <c r="D31" s="72">
        <v>1.0289999999999999</v>
      </c>
      <c r="E31" s="73">
        <v>1.0289999999999999</v>
      </c>
      <c r="J31" s="67">
        <v>10</v>
      </c>
      <c r="K31" s="65">
        <f>Q14</f>
        <v>4.5962500000000004</v>
      </c>
      <c r="L31" s="65">
        <f>Q15</f>
        <v>4.3493294502335231E-3</v>
      </c>
      <c r="M31" s="52"/>
      <c r="N31" s="52"/>
      <c r="O31" s="52"/>
      <c r="P31" s="52"/>
      <c r="Q31" s="52"/>
      <c r="AD31" s="61"/>
      <c r="AE31" s="61"/>
      <c r="AF31" s="61"/>
      <c r="AG31" s="61"/>
    </row>
    <row r="32" spans="1:33" ht="14.4">
      <c r="A32" s="81" t="s">
        <v>55</v>
      </c>
      <c r="B32" s="72">
        <v>4.5650000000000004</v>
      </c>
      <c r="C32" s="73">
        <v>4.5570000000000004</v>
      </c>
      <c r="D32" s="72">
        <v>1.0349999999999999</v>
      </c>
      <c r="E32" s="73">
        <v>0.995</v>
      </c>
      <c r="J32" s="67">
        <v>12</v>
      </c>
      <c r="K32" s="65">
        <f>S14</f>
        <v>4.5869999999999997</v>
      </c>
      <c r="L32" s="65">
        <f>S15</f>
        <v>3.741657386773688E-3</v>
      </c>
      <c r="M32" s="52"/>
      <c r="N32" s="52"/>
      <c r="O32" s="52"/>
      <c r="P32" s="52"/>
      <c r="Q32" s="52"/>
      <c r="AD32" s="61"/>
      <c r="AE32" s="61"/>
      <c r="AF32" s="61"/>
      <c r="AG32" s="61"/>
    </row>
    <row r="33" spans="1:33" ht="14.4">
      <c r="A33" s="81" t="s">
        <v>54</v>
      </c>
      <c r="B33" s="72">
        <v>4.532</v>
      </c>
      <c r="C33" s="73">
        <v>4.5579999999999998</v>
      </c>
      <c r="D33" s="72">
        <v>0.99399999999999999</v>
      </c>
      <c r="E33" s="73">
        <v>1.0149999999999999</v>
      </c>
      <c r="J33" s="67">
        <v>15</v>
      </c>
      <c r="K33" s="65">
        <f>U14</f>
        <v>4.57925</v>
      </c>
      <c r="L33" s="65">
        <f>U15</f>
        <v>3.7749172176353807E-3</v>
      </c>
      <c r="M33" s="52"/>
      <c r="N33" s="52"/>
      <c r="O33" s="52"/>
      <c r="P33" s="52"/>
      <c r="Q33" s="52"/>
      <c r="AD33" s="61"/>
      <c r="AE33" s="61"/>
      <c r="AF33" s="61"/>
      <c r="AG33" s="61"/>
    </row>
    <row r="34" spans="1:33" ht="14.4">
      <c r="A34" s="81" t="s">
        <v>53</v>
      </c>
      <c r="B34" s="72">
        <v>4.5549999999999997</v>
      </c>
      <c r="C34" s="73">
        <v>4.5629999999999997</v>
      </c>
      <c r="D34" s="72">
        <v>1.0289999999999999</v>
      </c>
      <c r="E34" s="73">
        <v>1.032</v>
      </c>
      <c r="J34" s="67">
        <v>20</v>
      </c>
      <c r="K34" s="65">
        <f>W14</f>
        <v>4.5772499999999994</v>
      </c>
      <c r="L34" s="65">
        <f>W15</f>
        <v>2.3629078131262478E-3</v>
      </c>
      <c r="M34" s="52"/>
      <c r="N34" s="52"/>
      <c r="O34" s="52"/>
      <c r="P34" s="52"/>
      <c r="Q34" s="52"/>
      <c r="AD34" s="61"/>
      <c r="AE34" s="61"/>
      <c r="AF34" s="61"/>
      <c r="AG34" s="61"/>
    </row>
    <row r="35" spans="1:33" ht="14.4">
      <c r="A35" s="81" t="s">
        <v>52</v>
      </c>
      <c r="B35" s="72">
        <v>4.5570000000000004</v>
      </c>
      <c r="C35" s="73">
        <v>4.5250000000000004</v>
      </c>
      <c r="D35" s="72">
        <v>0.995</v>
      </c>
      <c r="E35" s="73">
        <v>1.0329999999999999</v>
      </c>
      <c r="J35" s="67">
        <v>30</v>
      </c>
      <c r="K35" s="65">
        <f>Y14</f>
        <v>4.5715000000000003</v>
      </c>
      <c r="L35" s="65">
        <f>Y15</f>
        <v>3.1091263510294054E-3</v>
      </c>
      <c r="M35" s="52"/>
      <c r="N35" s="52"/>
      <c r="O35" s="52"/>
      <c r="P35" s="52"/>
      <c r="Q35" s="52"/>
      <c r="AD35" s="61"/>
      <c r="AE35" s="61"/>
      <c r="AF35" s="61"/>
      <c r="AG35" s="61"/>
    </row>
    <row r="36" spans="1:33" ht="14.4">
      <c r="A36" s="81" t="s">
        <v>51</v>
      </c>
      <c r="B36" s="72">
        <v>4.5579999999999998</v>
      </c>
      <c r="C36" s="73">
        <v>4.5599999999999996</v>
      </c>
      <c r="D36" s="72">
        <v>1.0149999999999999</v>
      </c>
      <c r="E36" s="73">
        <v>1.0289999999999999</v>
      </c>
      <c r="J36" s="67">
        <v>40</v>
      </c>
      <c r="K36" s="65">
        <f>AA14</f>
        <v>4.5709999999999997</v>
      </c>
      <c r="L36" s="65">
        <f>AA15</f>
        <v>2.9439202887761276E-3</v>
      </c>
      <c r="M36" s="52"/>
      <c r="N36" s="52"/>
      <c r="O36" s="52"/>
      <c r="P36" s="52"/>
      <c r="Q36" s="52"/>
      <c r="AD36" s="61"/>
      <c r="AE36" s="61"/>
      <c r="AF36" s="61"/>
      <c r="AG36" s="61"/>
    </row>
    <row r="37" spans="1:33" ht="14.4">
      <c r="A37" s="81" t="s">
        <v>50</v>
      </c>
      <c r="B37" s="72">
        <v>4.5629999999999997</v>
      </c>
      <c r="C37" s="73">
        <v>4.5650000000000004</v>
      </c>
      <c r="D37" s="72">
        <v>1.032</v>
      </c>
      <c r="E37" s="73">
        <v>1.0349999999999999</v>
      </c>
      <c r="G37" s="51"/>
      <c r="H37" s="51"/>
      <c r="I37" s="51"/>
      <c r="J37" s="64">
        <v>100</v>
      </c>
      <c r="K37" s="65">
        <f>B56</f>
        <v>4.5526470588235295</v>
      </c>
      <c r="L37" s="65">
        <f>B57</f>
        <v>1.0636934945121038E-2</v>
      </c>
      <c r="M37" s="52"/>
      <c r="N37" s="52"/>
      <c r="O37" s="52"/>
      <c r="P37" s="52"/>
      <c r="Q37" s="52"/>
      <c r="R37" s="52"/>
      <c r="S37" s="52"/>
      <c r="AD37" s="61"/>
      <c r="AE37" s="61"/>
      <c r="AF37" s="61"/>
      <c r="AG37" s="61"/>
    </row>
    <row r="38" spans="1:33" ht="14.4">
      <c r="A38" s="81" t="s">
        <v>49</v>
      </c>
      <c r="B38" s="74">
        <v>4.5579999999999998</v>
      </c>
      <c r="C38" s="73">
        <v>4.5419999999999998</v>
      </c>
      <c r="D38" s="74">
        <v>1.0309999999999999</v>
      </c>
      <c r="E38" s="73">
        <v>0.99399999999999999</v>
      </c>
      <c r="J38" s="52"/>
      <c r="K38" s="52"/>
      <c r="L38" s="52"/>
      <c r="M38" s="52"/>
      <c r="N38" s="52"/>
      <c r="O38" s="52"/>
      <c r="P38" s="52"/>
      <c r="Q38" s="52"/>
      <c r="R38" s="52"/>
      <c r="S38" s="52"/>
      <c r="AD38" s="61"/>
      <c r="AE38" s="61"/>
      <c r="AF38" s="61"/>
      <c r="AG38" s="61"/>
    </row>
    <row r="39" spans="1:33" ht="14.4">
      <c r="A39" s="81" t="s">
        <v>48</v>
      </c>
      <c r="B39" s="74">
        <v>4.556</v>
      </c>
      <c r="C39" s="73">
        <v>4.5750000000000002</v>
      </c>
      <c r="D39" s="74">
        <v>1.018</v>
      </c>
      <c r="E39" s="73">
        <v>1.0169999999999999</v>
      </c>
      <c r="K39" s="51"/>
      <c r="O39" s="52"/>
      <c r="P39" s="52"/>
      <c r="Q39" s="52"/>
      <c r="R39" s="52"/>
      <c r="S39" s="52"/>
      <c r="AD39" s="61"/>
      <c r="AE39" s="61"/>
      <c r="AF39" s="61"/>
      <c r="AG39" s="61"/>
    </row>
    <row r="40" spans="1:33">
      <c r="A40" s="81" t="s">
        <v>47</v>
      </c>
      <c r="B40" s="74">
        <v>4.5579999999999998</v>
      </c>
      <c r="C40" s="75"/>
      <c r="D40" s="74">
        <v>0.998</v>
      </c>
      <c r="E40" s="74"/>
      <c r="K40" s="51"/>
      <c r="O40" s="52"/>
      <c r="P40" s="52"/>
      <c r="Q40" s="52"/>
      <c r="R40" s="52"/>
      <c r="S40" s="52"/>
      <c r="AD40" s="61"/>
      <c r="AE40" s="61"/>
      <c r="AF40" s="61"/>
      <c r="AG40" s="61"/>
    </row>
    <row r="41" spans="1:33">
      <c r="A41" s="81" t="s">
        <v>46</v>
      </c>
      <c r="B41" s="74">
        <v>4.5570000000000004</v>
      </c>
      <c r="C41" s="75"/>
      <c r="D41" s="74">
        <v>1.0209999999999999</v>
      </c>
      <c r="E41" s="74"/>
      <c r="K41" s="51"/>
      <c r="O41" s="52"/>
      <c r="P41" s="52"/>
      <c r="Q41" s="52"/>
      <c r="R41" s="52"/>
      <c r="S41" s="52"/>
      <c r="AD41" s="61"/>
      <c r="AE41" s="61"/>
      <c r="AF41" s="61"/>
      <c r="AG41" s="61"/>
    </row>
    <row r="42" spans="1:33">
      <c r="A42" s="81" t="s">
        <v>44</v>
      </c>
      <c r="B42" s="74">
        <v>4.5430000000000001</v>
      </c>
      <c r="C42" s="75"/>
      <c r="D42" s="74">
        <v>1.006</v>
      </c>
      <c r="E42" s="74"/>
      <c r="K42" s="48"/>
      <c r="O42" s="52"/>
      <c r="P42" s="52"/>
      <c r="Q42" s="52"/>
      <c r="R42" s="52"/>
      <c r="S42" s="52"/>
    </row>
    <row r="43" spans="1:33">
      <c r="A43" s="81" t="s">
        <v>43</v>
      </c>
      <c r="B43" s="74">
        <v>4.5430000000000001</v>
      </c>
      <c r="C43" s="75"/>
      <c r="D43" s="74">
        <v>1.0109999999999999</v>
      </c>
      <c r="E43" s="74"/>
      <c r="K43" s="47"/>
      <c r="O43" s="52"/>
      <c r="P43" s="52"/>
      <c r="Q43" s="52"/>
      <c r="R43" s="52"/>
      <c r="S43" s="52"/>
    </row>
    <row r="44" spans="1:33">
      <c r="A44" s="81" t="s">
        <v>42</v>
      </c>
      <c r="B44" s="74">
        <v>4.5410000000000004</v>
      </c>
      <c r="C44" s="75"/>
      <c r="D44" s="74">
        <v>1.0229999999999999</v>
      </c>
      <c r="E44" s="74"/>
      <c r="K44" s="45"/>
      <c r="O44" s="52"/>
      <c r="P44" s="52"/>
      <c r="Q44" s="52"/>
      <c r="R44" s="52"/>
      <c r="S44" s="52"/>
    </row>
    <row r="45" spans="1:33">
      <c r="A45" s="81" t="s">
        <v>41</v>
      </c>
      <c r="B45" s="74">
        <v>4.55</v>
      </c>
      <c r="C45" s="74"/>
      <c r="D45" s="74">
        <v>1.0229999999999999</v>
      </c>
      <c r="E45" s="74"/>
      <c r="O45" s="52"/>
      <c r="P45" s="52"/>
      <c r="Q45" s="52"/>
      <c r="R45" s="52"/>
      <c r="S45" s="52"/>
    </row>
    <row r="46" spans="1:33">
      <c r="A46" s="81" t="s">
        <v>40</v>
      </c>
      <c r="B46" s="74">
        <v>4.548</v>
      </c>
      <c r="C46" s="74"/>
      <c r="D46" s="74">
        <v>1.0189999999999999</v>
      </c>
      <c r="E46" s="74"/>
      <c r="O46" s="52"/>
      <c r="P46" s="52"/>
      <c r="Q46" s="52"/>
      <c r="R46" s="52"/>
      <c r="S46" s="52"/>
    </row>
    <row r="47" spans="1:33">
      <c r="A47" s="81" t="s">
        <v>39</v>
      </c>
      <c r="B47" s="74">
        <v>4.5529999999999999</v>
      </c>
      <c r="C47" s="74"/>
      <c r="D47" s="74">
        <v>0.998</v>
      </c>
      <c r="E47" s="74"/>
      <c r="J47" s="51"/>
      <c r="K47" s="51"/>
      <c r="O47" s="52"/>
      <c r="P47" s="52"/>
      <c r="Q47" s="52"/>
      <c r="R47" s="52"/>
      <c r="S47" s="52"/>
    </row>
    <row r="48" spans="1:33" ht="15.6">
      <c r="A48" s="81" t="s">
        <v>38</v>
      </c>
      <c r="B48" s="74">
        <v>4.5549999999999997</v>
      </c>
      <c r="C48" s="74"/>
      <c r="D48" s="74">
        <v>1.0069999999999999</v>
      </c>
      <c r="E48" s="74"/>
      <c r="J48" s="51"/>
      <c r="K48" s="55"/>
      <c r="O48" s="52"/>
      <c r="P48" s="52"/>
      <c r="Q48" s="52"/>
      <c r="R48" s="52"/>
      <c r="S48" s="52"/>
    </row>
    <row r="49" spans="1:11">
      <c r="A49" s="81" t="s">
        <v>37</v>
      </c>
      <c r="B49" s="74">
        <v>4.5549999999999997</v>
      </c>
      <c r="C49" s="74"/>
      <c r="D49" s="74">
        <v>0.97099999999999997</v>
      </c>
      <c r="E49" s="74"/>
      <c r="J49" s="51"/>
      <c r="K49" s="51"/>
    </row>
    <row r="50" spans="1:11" ht="14.4">
      <c r="A50" s="81" t="s">
        <v>36</v>
      </c>
      <c r="B50" s="73">
        <v>4.5330000000000004</v>
      </c>
      <c r="C50" s="74"/>
      <c r="D50" s="73">
        <v>1.071</v>
      </c>
      <c r="E50" s="74"/>
      <c r="J50" s="51"/>
      <c r="K50" s="51"/>
    </row>
    <row r="51" spans="1:11" ht="14.4">
      <c r="A51" s="81" t="s">
        <v>35</v>
      </c>
      <c r="B51" s="73">
        <v>4.5389999999999997</v>
      </c>
      <c r="C51" s="74"/>
      <c r="D51" s="73">
        <v>0.997</v>
      </c>
      <c r="E51" s="74"/>
      <c r="J51" s="51"/>
      <c r="K51" s="51"/>
    </row>
    <row r="52" spans="1:11" ht="14.4">
      <c r="A52" s="81" t="s">
        <v>34</v>
      </c>
      <c r="B52" s="73">
        <v>4.55</v>
      </c>
      <c r="C52" s="74"/>
      <c r="D52" s="73">
        <v>1.0149999999999999</v>
      </c>
      <c r="E52" s="74"/>
      <c r="J52" s="48"/>
      <c r="K52" s="51"/>
    </row>
    <row r="53" spans="1:11" ht="14.4">
      <c r="A53" s="81" t="s">
        <v>33</v>
      </c>
      <c r="B53" s="73">
        <v>4.5469999999999997</v>
      </c>
      <c r="C53" s="74"/>
      <c r="D53" s="73">
        <v>1.0009999999999999</v>
      </c>
      <c r="E53" s="74"/>
      <c r="J53" s="47"/>
      <c r="K53" s="51"/>
    </row>
    <row r="54" spans="1:11" ht="14.4">
      <c r="A54" s="81" t="s">
        <v>32</v>
      </c>
      <c r="B54" s="73">
        <v>4.55</v>
      </c>
      <c r="C54" s="74"/>
      <c r="D54" s="73">
        <v>1.0049999999999999</v>
      </c>
      <c r="E54" s="74"/>
      <c r="J54" s="45"/>
      <c r="K54" s="51"/>
    </row>
    <row r="55" spans="1:11" ht="14.4">
      <c r="A55" s="81" t="s">
        <v>31</v>
      </c>
      <c r="B55" s="73">
        <v>4.5640000000000001</v>
      </c>
      <c r="C55" s="74"/>
      <c r="D55" s="73">
        <v>1.0309999999999999</v>
      </c>
      <c r="E55" s="74"/>
      <c r="K55" s="51"/>
    </row>
    <row r="56" spans="1:11">
      <c r="A56" s="68" t="s">
        <v>30</v>
      </c>
      <c r="B56" s="85">
        <f>AVERAGE(B31:B55,C31:C55)</f>
        <v>4.5526470588235295</v>
      </c>
      <c r="C56" s="76"/>
      <c r="D56" s="85">
        <f>AVERAGE(D31:D55,E31:E55)</f>
        <v>1.0162941176470588</v>
      </c>
      <c r="E56" s="86"/>
      <c r="K56" s="48"/>
    </row>
    <row r="57" spans="1:11">
      <c r="A57" s="68" t="s">
        <v>29</v>
      </c>
      <c r="B57" s="85">
        <f>STDEV(B31:B55,C31:C55)</f>
        <v>1.0636934945121038E-2</v>
      </c>
      <c r="C57" s="76"/>
      <c r="D57" s="85">
        <f>STDEV(D31:D55,E31:E55)</f>
        <v>1.8461309930483689E-2</v>
      </c>
      <c r="E57" s="86"/>
      <c r="J57" s="51"/>
      <c r="K57" s="50"/>
    </row>
    <row r="58" spans="1:11" ht="15.6">
      <c r="J58" s="54"/>
      <c r="K58" s="55"/>
    </row>
    <row r="59" spans="1:11">
      <c r="C59" s="52"/>
      <c r="D59" s="51"/>
      <c r="E59" s="51"/>
      <c r="J59" s="51"/>
      <c r="K59" s="51"/>
    </row>
    <row r="60" spans="1:11">
      <c r="C60" s="51"/>
      <c r="D60" s="52"/>
      <c r="E60" s="53"/>
      <c r="J60" s="51"/>
      <c r="K60" s="51"/>
    </row>
    <row r="61" spans="1:11">
      <c r="C61" s="51"/>
      <c r="D61" s="52"/>
      <c r="E61" s="53"/>
      <c r="J61" s="51"/>
      <c r="K61" s="51"/>
    </row>
    <row r="62" spans="1:11">
      <c r="C62" s="51"/>
      <c r="D62" s="52"/>
      <c r="E62" s="53"/>
      <c r="J62" s="51"/>
      <c r="K62" s="51"/>
    </row>
    <row r="63" spans="1:11">
      <c r="C63" s="51"/>
      <c r="D63" s="52"/>
      <c r="E63" s="53"/>
      <c r="J63" s="51"/>
      <c r="K63" s="51"/>
    </row>
    <row r="64" spans="1:11">
      <c r="B64" s="50"/>
      <c r="C64" s="51"/>
      <c r="D64" s="52"/>
      <c r="E64" s="48"/>
      <c r="J64" s="51"/>
      <c r="K64" s="51"/>
    </row>
    <row r="65" spans="2:10">
      <c r="B65" s="46"/>
      <c r="C65" s="51"/>
      <c r="D65" s="52"/>
      <c r="E65" s="47"/>
      <c r="J65" s="51"/>
    </row>
    <row r="66" spans="2:10">
      <c r="B66" s="46"/>
      <c r="C66" s="51"/>
      <c r="D66" s="52"/>
      <c r="E66" s="45"/>
      <c r="J66" s="48"/>
    </row>
    <row r="67" spans="2:10" ht="15.6">
      <c r="C67" s="51"/>
      <c r="D67" s="52"/>
      <c r="J67" s="59"/>
    </row>
    <row r="68" spans="2:10" ht="15.6">
      <c r="C68" s="51"/>
      <c r="D68" s="52"/>
      <c r="J68" s="54"/>
    </row>
    <row r="69" spans="2:10">
      <c r="C69" s="51"/>
      <c r="D69" s="52"/>
      <c r="E69" s="53"/>
      <c r="J69" s="51"/>
    </row>
    <row r="70" spans="2:10" ht="15.6">
      <c r="B70" s="46"/>
      <c r="C70" s="51"/>
      <c r="D70" s="52"/>
      <c r="E70" s="55"/>
      <c r="J70" s="51"/>
    </row>
    <row r="71" spans="2:10">
      <c r="C71" s="51"/>
      <c r="D71" s="52"/>
      <c r="E71" s="53"/>
      <c r="J71" s="51"/>
    </row>
    <row r="72" spans="2:10">
      <c r="C72" s="51"/>
      <c r="D72" s="52"/>
      <c r="E72" s="53"/>
      <c r="J72" s="51"/>
    </row>
    <row r="73" spans="2:10">
      <c r="C73" s="51"/>
      <c r="D73" s="52"/>
      <c r="E73" s="53"/>
      <c r="J73" s="51"/>
    </row>
    <row r="74" spans="2:10">
      <c r="C74" s="51"/>
      <c r="D74" s="52"/>
      <c r="E74" s="53"/>
      <c r="J74" s="51"/>
    </row>
    <row r="75" spans="2:10">
      <c r="C75" s="51"/>
      <c r="D75" s="52"/>
      <c r="E75" s="53"/>
      <c r="F75" s="52"/>
      <c r="G75" s="51"/>
      <c r="H75" s="51"/>
      <c r="I75" s="51"/>
    </row>
    <row r="76" spans="2:10">
      <c r="C76" s="51"/>
      <c r="D76" s="52"/>
      <c r="E76" s="53"/>
      <c r="F76" s="52"/>
      <c r="G76" s="51"/>
      <c r="H76" s="51"/>
      <c r="I76" s="51"/>
    </row>
    <row r="77" spans="2:10">
      <c r="C77" s="51"/>
      <c r="D77" s="52"/>
      <c r="E77" s="53"/>
      <c r="F77" s="52"/>
      <c r="G77" s="51"/>
      <c r="H77" s="51"/>
      <c r="I77" s="51"/>
    </row>
    <row r="78" spans="2:10">
      <c r="B78" s="50"/>
      <c r="C78" s="51"/>
      <c r="D78" s="52"/>
      <c r="E78" s="48"/>
      <c r="F78" s="49"/>
      <c r="G78" s="48"/>
      <c r="H78" s="48"/>
      <c r="I78" s="48"/>
    </row>
    <row r="79" spans="2:10" ht="15.6">
      <c r="B79" s="60"/>
      <c r="C79" s="51"/>
      <c r="D79" s="52"/>
      <c r="E79" s="50"/>
      <c r="F79" s="60"/>
      <c r="G79" s="58"/>
      <c r="H79" s="58"/>
      <c r="I79" s="59"/>
    </row>
    <row r="80" spans="2:10" ht="15.6">
      <c r="B80" s="46"/>
      <c r="C80" s="51"/>
      <c r="D80" s="52"/>
      <c r="E80" s="55"/>
      <c r="F80" s="56"/>
      <c r="G80" s="55"/>
      <c r="H80" s="55"/>
      <c r="I80" s="54"/>
    </row>
    <row r="81" spans="2:9">
      <c r="C81" s="51"/>
      <c r="D81" s="52"/>
      <c r="E81" s="53"/>
      <c r="F81" s="52"/>
      <c r="G81" s="51"/>
      <c r="H81" s="51"/>
      <c r="I81" s="51"/>
    </row>
    <row r="82" spans="2:9">
      <c r="C82" s="51"/>
      <c r="D82" s="52"/>
      <c r="E82" s="53"/>
      <c r="F82" s="52"/>
      <c r="G82" s="51"/>
      <c r="H82" s="51"/>
      <c r="I82" s="51"/>
    </row>
    <row r="83" spans="2:9">
      <c r="C83" s="51"/>
      <c r="D83" s="52"/>
      <c r="E83" s="53"/>
      <c r="F83" s="52"/>
      <c r="G83" s="51"/>
      <c r="H83" s="51"/>
      <c r="I83" s="51"/>
    </row>
    <row r="84" spans="2:9">
      <c r="B84" s="53"/>
      <c r="C84" s="51"/>
      <c r="D84" s="52"/>
      <c r="E84" s="53"/>
      <c r="F84" s="52"/>
      <c r="G84" s="51"/>
      <c r="H84" s="51"/>
      <c r="I84" s="51"/>
    </row>
    <row r="85" spans="2:9">
      <c r="C85" s="51"/>
      <c r="D85" s="52"/>
      <c r="E85" s="53"/>
      <c r="F85" s="52"/>
      <c r="G85" s="51"/>
      <c r="H85" s="51"/>
      <c r="I85" s="51"/>
    </row>
    <row r="86" spans="2:9">
      <c r="C86" s="51"/>
      <c r="D86" s="52"/>
      <c r="E86" s="53"/>
      <c r="F86" s="52"/>
      <c r="G86" s="51"/>
      <c r="H86" s="51"/>
      <c r="I86" s="51"/>
    </row>
    <row r="87" spans="2:9">
      <c r="C87" s="51"/>
      <c r="D87" s="52"/>
    </row>
    <row r="88" spans="2:9">
      <c r="B88" s="50"/>
      <c r="C88" s="51"/>
      <c r="D88" s="52"/>
    </row>
    <row r="89" spans="2:9">
      <c r="B89" s="46"/>
      <c r="C89" s="51"/>
      <c r="D89" s="52"/>
    </row>
    <row r="90" spans="2:9">
      <c r="B90" s="46"/>
      <c r="C90" s="51"/>
      <c r="D90" s="52"/>
    </row>
    <row r="91" spans="2:9">
      <c r="C91" s="51"/>
      <c r="D91" s="52"/>
    </row>
    <row r="92" spans="2:9">
      <c r="C92" s="51"/>
      <c r="D92" s="52"/>
    </row>
    <row r="93" spans="2:9">
      <c r="C93" s="51"/>
      <c r="D93" s="52"/>
    </row>
    <row r="94" spans="2:9">
      <c r="C94" s="51"/>
      <c r="D94" s="52"/>
    </row>
    <row r="95" spans="2:9">
      <c r="C95" s="51"/>
      <c r="D95" s="52"/>
    </row>
    <row r="96" spans="2:9">
      <c r="C96" s="51"/>
      <c r="D96" s="52"/>
    </row>
    <row r="97" spans="2:11">
      <c r="C97" s="51"/>
      <c r="D97" s="52"/>
    </row>
    <row r="98" spans="2:11">
      <c r="B98" s="50"/>
      <c r="C98" s="51"/>
      <c r="D98" s="52"/>
    </row>
    <row r="99" spans="2:11">
      <c r="B99" s="46"/>
      <c r="C99" s="51"/>
      <c r="D99" s="52"/>
    </row>
    <row r="100" spans="2:11">
      <c r="B100" s="46"/>
      <c r="C100" s="51"/>
      <c r="D100" s="52"/>
      <c r="K100" s="50"/>
    </row>
    <row r="101" spans="2:11" ht="15.6">
      <c r="C101" s="51"/>
      <c r="D101" s="52"/>
      <c r="K101" s="55"/>
    </row>
    <row r="102" spans="2:11">
      <c r="C102" s="51"/>
      <c r="D102" s="52"/>
      <c r="K102" s="51"/>
    </row>
    <row r="103" spans="2:11">
      <c r="C103" s="51"/>
      <c r="D103" s="52"/>
      <c r="K103" s="51"/>
    </row>
    <row r="104" spans="2:11">
      <c r="C104" s="51"/>
      <c r="D104" s="52"/>
      <c r="K104" s="51"/>
    </row>
    <row r="105" spans="2:11">
      <c r="C105" s="51"/>
      <c r="D105" s="52"/>
      <c r="K105" s="51"/>
    </row>
    <row r="106" spans="2:11">
      <c r="C106" s="51"/>
      <c r="D106" s="52"/>
      <c r="K106" s="51"/>
    </row>
    <row r="107" spans="2:11">
      <c r="C107" s="51"/>
      <c r="D107" s="52"/>
      <c r="K107" s="51"/>
    </row>
    <row r="108" spans="2:11">
      <c r="B108" s="50"/>
      <c r="C108" s="51"/>
      <c r="D108" s="52"/>
      <c r="K108" s="51"/>
    </row>
    <row r="109" spans="2:11">
      <c r="B109" s="46"/>
      <c r="C109" s="51"/>
      <c r="D109" s="52"/>
      <c r="K109" s="48"/>
    </row>
    <row r="110" spans="2:11" ht="15.6">
      <c r="B110" s="46"/>
      <c r="C110" s="51"/>
      <c r="D110" s="52"/>
      <c r="J110" s="59"/>
      <c r="K110" s="50"/>
    </row>
    <row r="111" spans="2:11" ht="15.6">
      <c r="C111" s="51"/>
      <c r="D111" s="52"/>
      <c r="J111" s="54"/>
      <c r="K111" s="55"/>
    </row>
    <row r="112" spans="2:11">
      <c r="C112" s="51"/>
      <c r="D112" s="52"/>
      <c r="J112" s="51"/>
      <c r="K112" s="51"/>
    </row>
    <row r="113" spans="2:11">
      <c r="B113" s="46"/>
      <c r="C113" s="51"/>
      <c r="D113" s="52"/>
      <c r="J113" s="51"/>
      <c r="K113" s="51"/>
    </row>
    <row r="114" spans="2:11">
      <c r="C114" s="51"/>
      <c r="D114" s="52"/>
      <c r="J114" s="51"/>
      <c r="K114" s="51"/>
    </row>
    <row r="115" spans="2:11">
      <c r="C115" s="51"/>
      <c r="D115" s="52"/>
      <c r="J115" s="51"/>
      <c r="K115" s="51"/>
    </row>
    <row r="116" spans="2:11">
      <c r="C116" s="51"/>
      <c r="D116" s="52"/>
      <c r="J116" s="51"/>
      <c r="K116" s="51"/>
    </row>
    <row r="117" spans="2:11">
      <c r="C117" s="51"/>
      <c r="D117" s="52"/>
      <c r="J117" s="51"/>
      <c r="K117" s="51"/>
    </row>
    <row r="118" spans="2:11">
      <c r="C118" s="51"/>
      <c r="D118" s="52"/>
      <c r="J118" s="51"/>
      <c r="K118" s="51"/>
    </row>
    <row r="119" spans="2:11">
      <c r="C119" s="51"/>
      <c r="D119" s="52"/>
      <c r="J119" s="48"/>
      <c r="K119" s="48"/>
    </row>
    <row r="120" spans="2:11">
      <c r="C120" s="51"/>
      <c r="D120" s="52"/>
      <c r="J120" s="51"/>
      <c r="K120" s="50"/>
    </row>
    <row r="121" spans="2:11" ht="15.6">
      <c r="B121" s="50"/>
      <c r="C121" s="51"/>
      <c r="D121" s="52"/>
      <c r="J121" s="54"/>
      <c r="K121" s="55"/>
    </row>
    <row r="122" spans="2:11" ht="15.6">
      <c r="B122" s="60"/>
      <c r="C122" s="51"/>
      <c r="D122" s="52"/>
      <c r="E122" s="50"/>
      <c r="F122" s="60"/>
      <c r="G122" s="58"/>
      <c r="H122" s="58"/>
      <c r="I122" s="59"/>
      <c r="J122" s="51"/>
      <c r="K122" s="51"/>
    </row>
    <row r="123" spans="2:11" ht="15.6">
      <c r="B123" s="46"/>
      <c r="C123" s="58"/>
      <c r="D123" s="57"/>
      <c r="E123" s="55"/>
      <c r="F123" s="56"/>
      <c r="G123" s="55"/>
      <c r="H123" s="55"/>
      <c r="I123" s="54"/>
      <c r="J123" s="51"/>
      <c r="K123" s="51"/>
    </row>
    <row r="124" spans="2:11">
      <c r="C124" s="51"/>
      <c r="D124" s="52"/>
      <c r="E124" s="53"/>
      <c r="F124" s="52"/>
      <c r="G124" s="51"/>
      <c r="H124" s="51"/>
      <c r="I124" s="51"/>
      <c r="J124" s="51"/>
      <c r="K124" s="51"/>
    </row>
    <row r="125" spans="2:11">
      <c r="C125" s="51"/>
      <c r="D125" s="52"/>
      <c r="E125" s="53"/>
      <c r="F125" s="52"/>
      <c r="G125" s="51"/>
      <c r="H125" s="51"/>
      <c r="I125" s="51"/>
      <c r="J125" s="51"/>
      <c r="K125" s="51"/>
    </row>
    <row r="126" spans="2:11">
      <c r="C126" s="51"/>
      <c r="D126" s="52"/>
      <c r="E126" s="53"/>
      <c r="F126" s="52"/>
      <c r="G126" s="51"/>
      <c r="H126" s="51"/>
      <c r="I126" s="51"/>
      <c r="J126" s="51"/>
      <c r="K126" s="51"/>
    </row>
    <row r="127" spans="2:11">
      <c r="C127" s="51"/>
      <c r="D127" s="52"/>
      <c r="E127" s="53"/>
      <c r="F127" s="52"/>
      <c r="G127" s="51"/>
      <c r="H127" s="51"/>
      <c r="I127" s="51"/>
      <c r="J127" s="51"/>
      <c r="K127" s="51"/>
    </row>
    <row r="128" spans="2:11">
      <c r="C128" s="51"/>
      <c r="D128" s="52"/>
      <c r="E128" s="53"/>
      <c r="F128" s="52"/>
      <c r="G128" s="51"/>
      <c r="H128" s="51"/>
      <c r="I128" s="51"/>
      <c r="J128" s="51"/>
      <c r="K128" s="51"/>
    </row>
    <row r="129" spans="2:11">
      <c r="C129" s="51"/>
      <c r="D129" s="52"/>
      <c r="E129" s="53"/>
      <c r="F129" s="52"/>
      <c r="G129" s="51"/>
      <c r="H129" s="51"/>
      <c r="I129" s="51"/>
      <c r="J129" s="48"/>
      <c r="K129" s="48"/>
    </row>
    <row r="130" spans="2:11">
      <c r="C130" s="51"/>
      <c r="D130" s="52"/>
      <c r="E130" s="53"/>
      <c r="F130" s="52"/>
      <c r="G130" s="51"/>
      <c r="H130" s="51"/>
      <c r="I130" s="51"/>
      <c r="J130" s="51"/>
      <c r="K130" s="47"/>
    </row>
    <row r="131" spans="2:11" ht="15.6">
      <c r="B131" s="50"/>
      <c r="C131" s="48"/>
      <c r="D131" s="49"/>
      <c r="E131" s="48"/>
      <c r="F131" s="49"/>
      <c r="G131" s="48"/>
      <c r="H131" s="48"/>
      <c r="I131" s="48"/>
      <c r="J131" s="54"/>
      <c r="K131" s="45"/>
    </row>
    <row r="132" spans="2:11">
      <c r="B132" s="46"/>
      <c r="C132" s="51"/>
      <c r="D132" s="51"/>
      <c r="E132" s="50"/>
      <c r="F132" s="46"/>
      <c r="G132" s="51"/>
      <c r="H132" s="51"/>
      <c r="I132" s="51"/>
      <c r="J132" s="51"/>
    </row>
    <row r="133" spans="2:11" ht="15.6">
      <c r="B133" s="46"/>
      <c r="C133" s="58"/>
      <c r="D133" s="57"/>
      <c r="E133" s="55"/>
      <c r="F133" s="56"/>
      <c r="G133" s="55"/>
      <c r="H133" s="55"/>
      <c r="I133" s="54"/>
      <c r="J133" s="51"/>
      <c r="K133" s="51"/>
    </row>
    <row r="134" spans="2:11" ht="15.6">
      <c r="C134" s="51"/>
      <c r="D134" s="52"/>
      <c r="E134" s="53"/>
      <c r="F134" s="52"/>
      <c r="G134" s="51"/>
      <c r="H134" s="51"/>
      <c r="I134" s="51"/>
      <c r="J134" s="51"/>
      <c r="K134" s="55"/>
    </row>
    <row r="135" spans="2:11">
      <c r="C135" s="51"/>
      <c r="D135" s="52"/>
      <c r="E135" s="53"/>
      <c r="F135" s="52"/>
      <c r="G135" s="51"/>
      <c r="H135" s="51"/>
      <c r="I135" s="51"/>
      <c r="J135" s="51"/>
      <c r="K135" s="51"/>
    </row>
    <row r="136" spans="2:11">
      <c r="C136" s="51"/>
      <c r="D136" s="52"/>
      <c r="E136" s="53"/>
      <c r="F136" s="52"/>
      <c r="G136" s="51"/>
      <c r="H136" s="51"/>
      <c r="I136" s="51"/>
      <c r="J136" s="51"/>
      <c r="K136" s="51"/>
    </row>
    <row r="137" spans="2:11">
      <c r="C137" s="51"/>
      <c r="D137" s="52"/>
      <c r="E137" s="53"/>
      <c r="F137" s="52"/>
      <c r="G137" s="51"/>
      <c r="H137" s="51"/>
      <c r="I137" s="51"/>
      <c r="J137" s="51"/>
      <c r="K137" s="51"/>
    </row>
    <row r="138" spans="2:11">
      <c r="C138" s="51"/>
      <c r="D138" s="52"/>
      <c r="E138" s="53"/>
      <c r="F138" s="52"/>
      <c r="G138" s="51"/>
      <c r="H138" s="51"/>
      <c r="I138" s="51"/>
      <c r="J138" s="51"/>
      <c r="K138" s="51"/>
    </row>
    <row r="139" spans="2:11">
      <c r="C139" s="51"/>
      <c r="D139" s="52"/>
      <c r="E139" s="53"/>
      <c r="F139" s="52"/>
      <c r="G139" s="51"/>
      <c r="H139" s="51"/>
      <c r="I139" s="51"/>
      <c r="J139" s="48"/>
      <c r="K139" s="51"/>
    </row>
    <row r="140" spans="2:11">
      <c r="C140" s="51"/>
      <c r="D140" s="52"/>
      <c r="E140" s="53"/>
      <c r="F140" s="52"/>
      <c r="G140" s="51"/>
      <c r="H140" s="51"/>
      <c r="I140" s="51"/>
      <c r="J140" s="47"/>
      <c r="K140" s="51"/>
    </row>
    <row r="141" spans="2:11">
      <c r="B141" s="50"/>
      <c r="C141" s="48"/>
      <c r="D141" s="49"/>
      <c r="E141" s="48"/>
      <c r="F141" s="49"/>
      <c r="G141" s="48"/>
      <c r="H141" s="48"/>
      <c r="I141" s="48"/>
      <c r="J141" s="45"/>
      <c r="K141" s="51"/>
    </row>
    <row r="142" spans="2:11">
      <c r="B142" s="46"/>
      <c r="C142" s="51"/>
      <c r="D142" s="51"/>
      <c r="E142" s="50"/>
      <c r="F142" s="46"/>
      <c r="G142" s="51"/>
      <c r="H142" s="51"/>
      <c r="I142" s="51"/>
      <c r="K142" s="48"/>
    </row>
    <row r="143" spans="2:11" ht="15.6">
      <c r="B143" s="46"/>
      <c r="C143" s="58"/>
      <c r="D143" s="57"/>
      <c r="E143" s="55"/>
      <c r="F143" s="56"/>
      <c r="G143" s="55"/>
      <c r="H143" s="55"/>
      <c r="I143" s="54"/>
      <c r="J143" s="51"/>
      <c r="K143" s="50"/>
    </row>
    <row r="144" spans="2:11" ht="15.6">
      <c r="C144" s="51"/>
      <c r="D144" s="52"/>
      <c r="E144" s="53"/>
      <c r="F144" s="52"/>
      <c r="G144" s="51"/>
      <c r="H144" s="51"/>
      <c r="I144" s="51"/>
      <c r="J144" s="54"/>
      <c r="K144" s="55"/>
    </row>
    <row r="145" spans="2:11">
      <c r="C145" s="51"/>
      <c r="D145" s="52"/>
      <c r="E145" s="53"/>
      <c r="F145" s="52"/>
      <c r="G145" s="51"/>
      <c r="H145" s="51"/>
      <c r="I145" s="51"/>
      <c r="J145" s="51"/>
      <c r="K145" s="51"/>
    </row>
    <row r="146" spans="2:11">
      <c r="C146" s="51"/>
      <c r="D146" s="52"/>
      <c r="E146" s="53"/>
      <c r="F146" s="52"/>
      <c r="G146" s="51"/>
      <c r="H146" s="51"/>
      <c r="I146" s="51"/>
      <c r="J146" s="51"/>
      <c r="K146" s="51"/>
    </row>
    <row r="147" spans="2:11">
      <c r="C147" s="51"/>
      <c r="D147" s="52"/>
      <c r="E147" s="53"/>
      <c r="F147" s="52"/>
      <c r="G147" s="51"/>
      <c r="H147" s="51"/>
      <c r="I147" s="51"/>
      <c r="J147" s="51"/>
      <c r="K147" s="51"/>
    </row>
    <row r="148" spans="2:11">
      <c r="C148" s="51"/>
      <c r="D148" s="52"/>
      <c r="E148" s="53"/>
      <c r="F148" s="52"/>
      <c r="G148" s="51"/>
      <c r="H148" s="51"/>
      <c r="I148" s="51"/>
      <c r="J148" s="51"/>
      <c r="K148" s="51"/>
    </row>
    <row r="149" spans="2:11">
      <c r="C149" s="51"/>
      <c r="D149" s="52"/>
      <c r="E149" s="53"/>
      <c r="F149" s="52"/>
      <c r="G149" s="51"/>
      <c r="H149" s="51"/>
      <c r="I149" s="51"/>
      <c r="J149" s="51"/>
      <c r="K149" s="51"/>
    </row>
    <row r="150" spans="2:11">
      <c r="C150" s="51"/>
      <c r="D150" s="52"/>
      <c r="E150" s="53"/>
      <c r="F150" s="52"/>
      <c r="G150" s="51"/>
      <c r="H150" s="51"/>
      <c r="I150" s="51"/>
      <c r="J150" s="51"/>
      <c r="K150" s="51"/>
    </row>
    <row r="151" spans="2:11">
      <c r="B151" s="50"/>
      <c r="C151" s="48"/>
      <c r="D151" s="49"/>
      <c r="E151" s="48"/>
      <c r="F151" s="49"/>
      <c r="G151" s="48"/>
      <c r="H151" s="48"/>
      <c r="I151" s="48"/>
      <c r="J151" s="51"/>
      <c r="K151" s="51"/>
    </row>
    <row r="152" spans="2:11">
      <c r="B152" s="46"/>
      <c r="C152" s="47"/>
      <c r="D152" s="47"/>
      <c r="E152" s="47"/>
      <c r="F152" s="47"/>
      <c r="G152" s="47"/>
      <c r="H152" s="47"/>
      <c r="I152" s="47"/>
      <c r="J152" s="48"/>
      <c r="K152" s="48"/>
    </row>
    <row r="153" spans="2:11" ht="15.6">
      <c r="B153" s="46"/>
      <c r="C153" s="45"/>
      <c r="D153" s="45"/>
      <c r="E153" s="45"/>
      <c r="F153" s="45"/>
      <c r="G153" s="45"/>
      <c r="H153" s="45"/>
      <c r="I153" s="45"/>
      <c r="J153" s="59"/>
      <c r="K153" s="50"/>
    </row>
    <row r="154" spans="2:11" ht="15.6">
      <c r="J154" s="54"/>
      <c r="K154" s="55"/>
    </row>
    <row r="155" spans="2:11">
      <c r="C155" s="51"/>
      <c r="D155" s="52"/>
      <c r="E155" s="53"/>
      <c r="F155" s="52"/>
      <c r="G155" s="51"/>
      <c r="H155" s="51"/>
      <c r="I155" s="51"/>
      <c r="J155" s="51"/>
      <c r="K155" s="51"/>
    </row>
    <row r="156" spans="2:11" ht="15.6">
      <c r="B156" s="46"/>
      <c r="C156" s="58"/>
      <c r="D156" s="57"/>
      <c r="E156" s="55"/>
      <c r="F156" s="56"/>
      <c r="G156" s="55"/>
      <c r="H156" s="55"/>
      <c r="I156" s="54"/>
      <c r="J156" s="51"/>
      <c r="K156" s="51"/>
    </row>
    <row r="157" spans="2:11">
      <c r="C157" s="51"/>
      <c r="D157" s="52"/>
      <c r="E157" s="53"/>
      <c r="F157" s="52"/>
      <c r="G157" s="51"/>
      <c r="H157" s="51"/>
      <c r="I157" s="51"/>
      <c r="J157" s="51"/>
      <c r="K157" s="51"/>
    </row>
    <row r="158" spans="2:11">
      <c r="C158" s="51"/>
      <c r="D158" s="52"/>
      <c r="E158" s="53"/>
      <c r="F158" s="52"/>
      <c r="G158" s="51"/>
      <c r="H158" s="51"/>
      <c r="I158" s="51"/>
      <c r="J158" s="51"/>
      <c r="K158" s="51"/>
    </row>
    <row r="159" spans="2:11">
      <c r="C159" s="51"/>
      <c r="D159" s="52"/>
      <c r="E159" s="53"/>
      <c r="F159" s="52"/>
      <c r="G159" s="51"/>
      <c r="H159" s="51"/>
      <c r="I159" s="51"/>
      <c r="J159" s="51"/>
      <c r="K159" s="51"/>
    </row>
    <row r="160" spans="2:11">
      <c r="C160" s="51"/>
      <c r="D160" s="52"/>
      <c r="E160" s="53"/>
      <c r="F160" s="52"/>
      <c r="G160" s="51"/>
      <c r="H160" s="51"/>
      <c r="I160" s="51"/>
      <c r="J160" s="51"/>
      <c r="K160" s="51"/>
    </row>
    <row r="161" spans="2:11">
      <c r="C161" s="51"/>
      <c r="D161" s="52"/>
      <c r="E161" s="53"/>
      <c r="F161" s="52"/>
      <c r="G161" s="51"/>
      <c r="H161" s="51"/>
      <c r="I161" s="51"/>
      <c r="J161" s="51"/>
      <c r="K161" s="51"/>
    </row>
    <row r="162" spans="2:11">
      <c r="C162" s="51"/>
      <c r="D162" s="52"/>
      <c r="E162" s="53"/>
      <c r="F162" s="52"/>
      <c r="G162" s="51"/>
      <c r="H162" s="51"/>
      <c r="I162" s="51"/>
      <c r="J162" s="48"/>
      <c r="K162" s="48"/>
    </row>
    <row r="163" spans="2:11">
      <c r="C163" s="51"/>
      <c r="D163" s="52"/>
      <c r="E163" s="53"/>
      <c r="F163" s="52"/>
      <c r="G163" s="51"/>
      <c r="H163" s="51"/>
      <c r="I163" s="51"/>
      <c r="J163" s="51"/>
      <c r="K163" s="50"/>
    </row>
    <row r="164" spans="2:11" ht="15.6">
      <c r="B164" s="50"/>
      <c r="C164" s="48"/>
      <c r="D164" s="49"/>
      <c r="E164" s="48"/>
      <c r="F164" s="49"/>
      <c r="G164" s="48"/>
      <c r="H164" s="48"/>
      <c r="I164" s="48"/>
      <c r="J164" s="54"/>
      <c r="K164" s="55"/>
    </row>
    <row r="165" spans="2:11" ht="15.6">
      <c r="B165" s="60"/>
      <c r="C165" s="58"/>
      <c r="D165" s="59"/>
      <c r="E165" s="50"/>
      <c r="F165" s="60"/>
      <c r="G165" s="58"/>
      <c r="H165" s="58"/>
      <c r="I165" s="59"/>
      <c r="J165" s="51"/>
      <c r="K165" s="51"/>
    </row>
    <row r="166" spans="2:11" ht="15.6">
      <c r="B166" s="46"/>
      <c r="C166" s="58"/>
      <c r="D166" s="57"/>
      <c r="E166" s="55"/>
      <c r="F166" s="56"/>
      <c r="G166" s="55"/>
      <c r="H166" s="55"/>
      <c r="I166" s="54"/>
      <c r="J166" s="51"/>
      <c r="K166" s="51"/>
    </row>
    <row r="167" spans="2:11">
      <c r="C167" s="51"/>
      <c r="D167" s="52"/>
      <c r="E167" s="53"/>
      <c r="F167" s="52"/>
      <c r="G167" s="51"/>
      <c r="H167" s="51"/>
      <c r="I167" s="51"/>
      <c r="J167" s="51"/>
      <c r="K167" s="51"/>
    </row>
    <row r="168" spans="2:11">
      <c r="C168" s="51"/>
      <c r="D168" s="52"/>
      <c r="E168" s="53"/>
      <c r="F168" s="52"/>
      <c r="G168" s="51"/>
      <c r="H168" s="51"/>
      <c r="I168" s="51"/>
      <c r="J168" s="51"/>
      <c r="K168" s="51"/>
    </row>
    <row r="169" spans="2:11">
      <c r="C169" s="51"/>
      <c r="D169" s="52"/>
      <c r="E169" s="53"/>
      <c r="F169" s="52"/>
      <c r="G169" s="51"/>
      <c r="H169" s="51"/>
      <c r="I169" s="51"/>
      <c r="J169" s="51"/>
      <c r="K169" s="51"/>
    </row>
    <row r="170" spans="2:11">
      <c r="C170" s="51"/>
      <c r="D170" s="52"/>
      <c r="E170" s="53"/>
      <c r="F170" s="52"/>
      <c r="G170" s="51"/>
      <c r="H170" s="51"/>
      <c r="I170" s="51"/>
      <c r="J170" s="51"/>
      <c r="K170" s="51"/>
    </row>
    <row r="171" spans="2:11">
      <c r="C171" s="51"/>
      <c r="D171" s="52"/>
      <c r="E171" s="53"/>
      <c r="F171" s="52"/>
      <c r="G171" s="51"/>
      <c r="H171" s="51"/>
      <c r="I171" s="51"/>
      <c r="J171" s="51"/>
      <c r="K171" s="51"/>
    </row>
    <row r="172" spans="2:11">
      <c r="C172" s="51"/>
      <c r="D172" s="52"/>
      <c r="E172" s="53"/>
      <c r="F172" s="52"/>
      <c r="G172" s="51"/>
      <c r="H172" s="51"/>
      <c r="I172" s="51"/>
      <c r="J172" s="48"/>
      <c r="K172" s="48"/>
    </row>
    <row r="173" spans="2:11">
      <c r="C173" s="51"/>
      <c r="D173" s="52"/>
      <c r="E173" s="53"/>
      <c r="F173" s="52"/>
      <c r="G173" s="51"/>
      <c r="H173" s="51"/>
      <c r="I173" s="51"/>
      <c r="J173" s="51"/>
      <c r="K173" s="47"/>
    </row>
    <row r="174" spans="2:11" ht="15.6">
      <c r="B174" s="50"/>
      <c r="C174" s="48"/>
      <c r="D174" s="49"/>
      <c r="E174" s="48"/>
      <c r="F174" s="49"/>
      <c r="G174" s="48"/>
      <c r="H174" s="48"/>
      <c r="I174" s="48"/>
      <c r="J174" s="54"/>
      <c r="K174" s="45"/>
    </row>
    <row r="175" spans="2:11">
      <c r="B175" s="46"/>
      <c r="C175" s="51"/>
      <c r="D175" s="51"/>
      <c r="E175" s="50"/>
      <c r="F175" s="46"/>
      <c r="G175" s="51"/>
      <c r="H175" s="51"/>
      <c r="I175" s="51"/>
      <c r="J175" s="51"/>
    </row>
    <row r="176" spans="2:11" ht="15.6">
      <c r="B176" s="46"/>
      <c r="C176" s="58"/>
      <c r="D176" s="57"/>
      <c r="E176" s="55"/>
      <c r="F176" s="56"/>
      <c r="G176" s="55"/>
      <c r="H176" s="55"/>
      <c r="I176" s="54"/>
      <c r="J176" s="51"/>
    </row>
    <row r="177" spans="2:10">
      <c r="C177" s="51"/>
      <c r="D177" s="52"/>
      <c r="E177" s="53"/>
      <c r="F177" s="52"/>
      <c r="G177" s="51"/>
      <c r="H177" s="51"/>
      <c r="I177" s="51"/>
      <c r="J177" s="51"/>
    </row>
    <row r="178" spans="2:10">
      <c r="C178" s="51"/>
      <c r="D178" s="52"/>
      <c r="E178" s="53"/>
      <c r="F178" s="52"/>
      <c r="G178" s="51"/>
      <c r="H178" s="51"/>
      <c r="I178" s="51"/>
      <c r="J178" s="51"/>
    </row>
    <row r="179" spans="2:10">
      <c r="C179" s="51"/>
      <c r="D179" s="52"/>
      <c r="E179" s="53"/>
      <c r="F179" s="52"/>
      <c r="G179" s="51"/>
      <c r="H179" s="51"/>
      <c r="I179" s="51"/>
      <c r="J179" s="51"/>
    </row>
    <row r="180" spans="2:10">
      <c r="C180" s="51"/>
      <c r="D180" s="52"/>
      <c r="E180" s="53"/>
      <c r="F180" s="52"/>
      <c r="G180" s="51"/>
      <c r="H180" s="51"/>
      <c r="I180" s="51"/>
      <c r="J180" s="51"/>
    </row>
    <row r="181" spans="2:10">
      <c r="C181" s="51"/>
      <c r="D181" s="52"/>
      <c r="E181" s="53"/>
      <c r="F181" s="52"/>
      <c r="G181" s="51"/>
      <c r="H181" s="51"/>
      <c r="I181" s="51"/>
      <c r="J181" s="51"/>
    </row>
    <row r="182" spans="2:10">
      <c r="C182" s="51"/>
      <c r="D182" s="52"/>
      <c r="E182" s="53"/>
      <c r="F182" s="52"/>
      <c r="G182" s="51"/>
      <c r="H182" s="51"/>
      <c r="I182" s="51"/>
      <c r="J182" s="48"/>
    </row>
    <row r="183" spans="2:10">
      <c r="C183" s="51"/>
      <c r="D183" s="52"/>
      <c r="E183" s="53"/>
      <c r="F183" s="52"/>
      <c r="G183" s="51"/>
      <c r="H183" s="51"/>
      <c r="I183" s="51"/>
      <c r="J183" s="47"/>
    </row>
    <row r="184" spans="2:10">
      <c r="B184" s="50"/>
      <c r="C184" s="48"/>
      <c r="D184" s="49"/>
      <c r="E184" s="48"/>
      <c r="F184" s="49"/>
      <c r="G184" s="48"/>
      <c r="H184" s="48"/>
      <c r="I184" s="48"/>
      <c r="J184" s="45"/>
    </row>
    <row r="185" spans="2:10">
      <c r="B185" s="46"/>
      <c r="C185" s="51"/>
      <c r="D185" s="51"/>
      <c r="E185" s="50"/>
      <c r="F185" s="46"/>
      <c r="G185" s="51"/>
      <c r="H185" s="51"/>
      <c r="I185" s="51"/>
    </row>
    <row r="186" spans="2:10" ht="15.6">
      <c r="B186" s="46"/>
      <c r="C186" s="58"/>
      <c r="D186" s="57"/>
      <c r="E186" s="55"/>
      <c r="F186" s="56"/>
      <c r="G186" s="55"/>
      <c r="H186" s="55"/>
      <c r="I186" s="54"/>
    </row>
    <row r="187" spans="2:10">
      <c r="C187" s="51"/>
      <c r="D187" s="52"/>
      <c r="E187" s="53"/>
      <c r="F187" s="52"/>
      <c r="G187" s="51"/>
      <c r="H187" s="51"/>
      <c r="I187" s="51"/>
    </row>
    <row r="188" spans="2:10">
      <c r="C188" s="51"/>
      <c r="D188" s="52"/>
      <c r="E188" s="53"/>
      <c r="F188" s="52"/>
      <c r="G188" s="51"/>
      <c r="H188" s="51"/>
      <c r="I188" s="51"/>
    </row>
    <row r="189" spans="2:10">
      <c r="C189" s="51"/>
      <c r="D189" s="52"/>
      <c r="E189" s="53"/>
      <c r="F189" s="52"/>
      <c r="G189" s="51"/>
      <c r="H189" s="51"/>
      <c r="I189" s="51"/>
    </row>
    <row r="190" spans="2:10">
      <c r="C190" s="51"/>
      <c r="D190" s="52"/>
      <c r="E190" s="53"/>
      <c r="F190" s="52"/>
      <c r="G190" s="51"/>
      <c r="H190" s="51"/>
      <c r="I190" s="51"/>
    </row>
    <row r="191" spans="2:10">
      <c r="C191" s="51"/>
      <c r="D191" s="52"/>
      <c r="E191" s="53"/>
      <c r="F191" s="52"/>
      <c r="G191" s="51"/>
      <c r="H191" s="51"/>
      <c r="I191" s="51"/>
    </row>
    <row r="192" spans="2:10">
      <c r="C192" s="51"/>
      <c r="D192" s="52"/>
      <c r="E192" s="53"/>
      <c r="F192" s="52"/>
      <c r="G192" s="51"/>
      <c r="H192" s="51"/>
      <c r="I192" s="51"/>
    </row>
    <row r="193" spans="2:9">
      <c r="C193" s="51"/>
      <c r="D193" s="52"/>
      <c r="E193" s="53"/>
      <c r="F193" s="52"/>
      <c r="G193" s="51"/>
      <c r="H193" s="51"/>
      <c r="I193" s="51"/>
    </row>
    <row r="194" spans="2:9">
      <c r="B194" s="50"/>
      <c r="C194" s="48"/>
      <c r="D194" s="49"/>
      <c r="E194" s="48"/>
      <c r="F194" s="49"/>
      <c r="G194" s="48"/>
      <c r="H194" s="48"/>
      <c r="I194" s="48"/>
    </row>
    <row r="195" spans="2:9">
      <c r="B195" s="46"/>
      <c r="C195" s="47"/>
      <c r="D195" s="47"/>
      <c r="E195" s="47"/>
      <c r="F195" s="47"/>
      <c r="G195" s="47"/>
      <c r="H195" s="47"/>
      <c r="I195" s="47"/>
    </row>
    <row r="196" spans="2:9">
      <c r="B196" s="46"/>
      <c r="C196" s="45"/>
      <c r="D196" s="45"/>
      <c r="E196" s="45"/>
      <c r="F196" s="45"/>
      <c r="G196" s="45"/>
      <c r="H196" s="45"/>
      <c r="I196" s="45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6CBB5-8CB1-4424-9295-EBB38D3A907A}">
  <sheetPr>
    <tabColor theme="4"/>
  </sheetPr>
  <dimension ref="A1"/>
  <sheetViews>
    <sheetView workbookViewId="0">
      <selection activeCell="F17" sqref="E17:F19"/>
    </sheetView>
  </sheetViews>
  <sheetFormatPr defaultRowHeight="14.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Fig4_34N</vt:lpstr>
      <vt:lpstr>Lifetime_dilution_34N</vt:lpstr>
      <vt:lpstr>Error calc formulas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2020-01-18T07:14:56Z</dcterms:created>
  <dcterms:modified xsi:type="dcterms:W3CDTF">2020-09-29T03:02:21Z</dcterms:modified>
</cp:coreProperties>
</file>