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\cr\desktopFR\mjd00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4" i="1" l="1"/>
  <c r="F42" i="1"/>
  <c r="F41" i="1"/>
  <c r="F40" i="1"/>
  <c r="J37" i="1"/>
  <c r="F37" i="1"/>
  <c r="N26" i="1"/>
  <c r="C37" i="1" l="1"/>
  <c r="F26" i="1" l="1"/>
  <c r="H46" i="1" l="1"/>
  <c r="H47" i="1"/>
  <c r="D46" i="1"/>
  <c r="D47" i="1"/>
  <c r="J35" i="1"/>
  <c r="C35" i="1"/>
  <c r="J32" i="1"/>
  <c r="N32" i="1" s="1"/>
  <c r="B44" i="1" s="1"/>
  <c r="G32" i="1"/>
  <c r="B12" i="1"/>
  <c r="C12" i="1" s="1"/>
  <c r="J12" i="1" s="1"/>
  <c r="F16" i="1" s="1"/>
  <c r="F3" i="1"/>
  <c r="B13" i="1" s="1"/>
  <c r="C13" i="1" s="1"/>
  <c r="J13" i="1" s="1"/>
  <c r="N13" i="1" l="1"/>
  <c r="B41" i="1" s="1"/>
  <c r="F17" i="1"/>
  <c r="B20" i="1"/>
  <c r="Q13" i="1"/>
  <c r="Q12" i="1"/>
  <c r="N12" i="1"/>
  <c r="B40" i="1" s="1"/>
  <c r="B23" i="1" l="1"/>
  <c r="J20" i="1"/>
  <c r="B42" i="1" s="1"/>
  <c r="B29" i="1" l="1"/>
  <c r="B43" i="1" s="1"/>
  <c r="F29" i="1"/>
  <c r="G29" i="1" l="1"/>
  <c r="B37" i="1" l="1"/>
  <c r="F45" i="1" l="1"/>
  <c r="N37" i="1"/>
  <c r="B45" i="1" s="1"/>
  <c r="B46" i="1" l="1"/>
  <c r="M41" i="1" s="1"/>
  <c r="F46" i="1"/>
  <c r="M40" i="1" l="1"/>
  <c r="G42" i="1"/>
  <c r="H42" i="1" s="1"/>
  <c r="B47" i="1"/>
  <c r="G40" i="1"/>
  <c r="H40" i="1" s="1"/>
  <c r="G43" i="1"/>
  <c r="H43" i="1" s="1"/>
  <c r="G44" i="1"/>
  <c r="H44" i="1" s="1"/>
  <c r="G41" i="1"/>
  <c r="H41" i="1" s="1"/>
  <c r="G45" i="1"/>
  <c r="H45" i="1" s="1"/>
  <c r="C43" i="1"/>
  <c r="D43" i="1" s="1"/>
  <c r="C41" i="1"/>
  <c r="D41" i="1" s="1"/>
  <c r="C44" i="1"/>
  <c r="D44" i="1" s="1"/>
  <c r="C42" i="1"/>
  <c r="D42" i="1" s="1"/>
  <c r="C40" i="1"/>
  <c r="D40" i="1" s="1"/>
  <c r="C45" i="1"/>
  <c r="D45" i="1" s="1"/>
</calcChain>
</file>

<file path=xl/sharedStrings.xml><?xml version="1.0" encoding="utf-8"?>
<sst xmlns="http://schemas.openxmlformats.org/spreadsheetml/2006/main" count="99" uniqueCount="64">
  <si>
    <t>cathode layer</t>
  </si>
  <si>
    <t>anode layer</t>
  </si>
  <si>
    <t>separator layer</t>
  </si>
  <si>
    <t>cathode current collector</t>
  </si>
  <si>
    <t>anode currebt collector</t>
  </si>
  <si>
    <t>cathode mass loading</t>
  </si>
  <si>
    <t>mg cm-2</t>
  </si>
  <si>
    <t>anode mass loading</t>
  </si>
  <si>
    <t>mass ratio (cathode/anode)</t>
  </si>
  <si>
    <t>cathode mass (AM)</t>
  </si>
  <si>
    <t>mg</t>
  </si>
  <si>
    <t>area of one layer</t>
  </si>
  <si>
    <t>cm2</t>
  </si>
  <si>
    <t>anode mass (AM)</t>
  </si>
  <si>
    <t>g</t>
  </si>
  <si>
    <t>g cm-3</t>
  </si>
  <si>
    <t>cathode volume (AM)</t>
  </si>
  <si>
    <t>anode volume (AM)</t>
  </si>
  <si>
    <t>cm-3</t>
  </si>
  <si>
    <t>cathode porosity</t>
  </si>
  <si>
    <t>anode porosity</t>
  </si>
  <si>
    <t>a. u.</t>
  </si>
  <si>
    <t>electrolyte stored by separator</t>
  </si>
  <si>
    <t>Separator porosity</t>
  </si>
  <si>
    <t>Separator volume</t>
  </si>
  <si>
    <t>Separator mass</t>
  </si>
  <si>
    <t>Active electrolyte mass</t>
  </si>
  <si>
    <t>Electrolyte density</t>
  </si>
  <si>
    <t>Separator density</t>
  </si>
  <si>
    <t>Separator thickness (each layer)</t>
  </si>
  <si>
    <t>cm-1</t>
  </si>
  <si>
    <t>um</t>
  </si>
  <si>
    <t>cathode AM ratio</t>
  </si>
  <si>
    <t>anode AM ratio</t>
  </si>
  <si>
    <t>cathode mass</t>
  </si>
  <si>
    <t>anode mass</t>
  </si>
  <si>
    <t>Current collector density</t>
  </si>
  <si>
    <t>cm</t>
  </si>
  <si>
    <t>Current collector volume</t>
  </si>
  <si>
    <t>Current collector mass</t>
  </si>
  <si>
    <t>cathode thickness</t>
  </si>
  <si>
    <t>anode thickness</t>
  </si>
  <si>
    <t>package thickness</t>
  </si>
  <si>
    <t>package density</t>
  </si>
  <si>
    <t>top+bottle pouch volume</t>
  </si>
  <si>
    <t>height of pouch</t>
  </si>
  <si>
    <t>pouch volume</t>
  </si>
  <si>
    <t>pouch mass</t>
  </si>
  <si>
    <t>sum</t>
  </si>
  <si>
    <t>%</t>
  </si>
  <si>
    <t>reduction factor</t>
  </si>
  <si>
    <t>Separator volume(+ pores)</t>
  </si>
  <si>
    <t>cathode volume (only AM)</t>
  </si>
  <si>
    <t>anode volume (only AM)</t>
  </si>
  <si>
    <t>cathode density (AM)</t>
  </si>
  <si>
    <t>anode density ( (AM))</t>
  </si>
  <si>
    <t>electrolyte in pores of cathode</t>
  </si>
  <si>
    <t>electrolyte in pores of anode</t>
  </si>
  <si>
    <t>Separator volume(without  pores)</t>
  </si>
  <si>
    <t>mL</t>
  </si>
  <si>
    <t>Current collector thickness (each layer)</t>
  </si>
  <si>
    <t>side pouch volume</t>
  </si>
  <si>
    <t>Electrolyte mass</t>
  </si>
  <si>
    <t>Electrolyte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</si>
</sst>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70" zoomScaleNormal="70" workbookViewId="0">
      <selection activeCell="F20" sqref="F20"/>
    </sheetView>
  </sheetViews>
  <sheetFormatPr defaultRowHeight="15" x14ac:dyDescent="0.25"/>
  <cols>
    <col min="1" max="1" width="29.42578125" customWidth="1"/>
    <col min="5" max="5" width="39.28515625" customWidth="1"/>
    <col min="6" max="6" width="16.28515625" customWidth="1"/>
    <col min="7" max="7" width="9.7109375" customWidth="1"/>
    <col min="9" max="9" width="27.85546875" customWidth="1"/>
    <col min="13" max="13" width="34.85546875" customWidth="1"/>
    <col min="16" max="16" width="20.7109375" customWidth="1"/>
  </cols>
  <sheetData>
    <row r="1" spans="1:17" x14ac:dyDescent="0.25">
      <c r="A1" t="s">
        <v>0</v>
      </c>
      <c r="B1" s="1">
        <v>18</v>
      </c>
      <c r="F1" t="s">
        <v>6</v>
      </c>
      <c r="I1" t="s">
        <v>8</v>
      </c>
      <c r="J1" s="1">
        <v>2.8</v>
      </c>
    </row>
    <row r="2" spans="1:17" x14ac:dyDescent="0.25">
      <c r="A2" t="s">
        <v>1</v>
      </c>
      <c r="B2" s="1">
        <v>18</v>
      </c>
      <c r="E2" t="s">
        <v>5</v>
      </c>
      <c r="F2" s="1">
        <v>10</v>
      </c>
    </row>
    <row r="3" spans="1:17" x14ac:dyDescent="0.25">
      <c r="A3" t="s">
        <v>2</v>
      </c>
      <c r="B3" s="1">
        <v>18</v>
      </c>
      <c r="E3" t="s">
        <v>7</v>
      </c>
      <c r="F3">
        <f>F2/J1</f>
        <v>3.5714285714285716</v>
      </c>
    </row>
    <row r="4" spans="1:17" x14ac:dyDescent="0.25">
      <c r="A4" t="s">
        <v>3</v>
      </c>
      <c r="B4" s="1">
        <v>10</v>
      </c>
    </row>
    <row r="5" spans="1:17" x14ac:dyDescent="0.25">
      <c r="A5" t="s">
        <v>4</v>
      </c>
      <c r="B5" s="1">
        <v>9</v>
      </c>
    </row>
    <row r="7" spans="1:17" x14ac:dyDescent="0.25">
      <c r="B7" t="s">
        <v>12</v>
      </c>
    </row>
    <row r="8" spans="1:17" x14ac:dyDescent="0.25">
      <c r="A8" t="s">
        <v>11</v>
      </c>
      <c r="B8" s="1">
        <v>10</v>
      </c>
    </row>
    <row r="9" spans="1:17" x14ac:dyDescent="0.25">
      <c r="M9" t="s">
        <v>32</v>
      </c>
      <c r="N9">
        <v>0.9</v>
      </c>
    </row>
    <row r="10" spans="1:17" x14ac:dyDescent="0.25">
      <c r="M10" t="s">
        <v>33</v>
      </c>
      <c r="N10">
        <v>0.95</v>
      </c>
    </row>
    <row r="11" spans="1:17" x14ac:dyDescent="0.25">
      <c r="B11" t="s">
        <v>10</v>
      </c>
      <c r="C11" t="s">
        <v>14</v>
      </c>
      <c r="F11" t="s">
        <v>15</v>
      </c>
      <c r="J11" t="s">
        <v>18</v>
      </c>
      <c r="N11" t="s">
        <v>14</v>
      </c>
      <c r="Q11" t="s">
        <v>30</v>
      </c>
    </row>
    <row r="12" spans="1:17" x14ac:dyDescent="0.25">
      <c r="A12" s="2" t="s">
        <v>9</v>
      </c>
      <c r="B12" s="2">
        <f>F2*B8*B1</f>
        <v>1800</v>
      </c>
      <c r="C12" s="2">
        <f>B12/1000</f>
        <v>1.8</v>
      </c>
      <c r="E12" t="s">
        <v>54</v>
      </c>
      <c r="F12">
        <v>0.65</v>
      </c>
      <c r="I12" s="3" t="s">
        <v>52</v>
      </c>
      <c r="J12" s="3">
        <f>C12/F12</f>
        <v>2.7692307692307692</v>
      </c>
      <c r="M12" s="4" t="s">
        <v>34</v>
      </c>
      <c r="N12" s="4">
        <f>C12/N9</f>
        <v>2</v>
      </c>
      <c r="P12" s="5" t="s">
        <v>40</v>
      </c>
      <c r="Q12" s="5">
        <f>(J12/(1-B16))/B1/B8</f>
        <v>2.1978021978021976E-2</v>
      </c>
    </row>
    <row r="13" spans="1:17" x14ac:dyDescent="0.25">
      <c r="A13" s="2" t="s">
        <v>13</v>
      </c>
      <c r="B13" s="2">
        <f>F3*B8*B2</f>
        <v>642.85714285714289</v>
      </c>
      <c r="C13" s="2">
        <f>B13/1000</f>
        <v>0.6428571428571429</v>
      </c>
      <c r="E13" t="s">
        <v>55</v>
      </c>
      <c r="F13">
        <v>2.2000000000000002</v>
      </c>
      <c r="I13" s="3" t="s">
        <v>53</v>
      </c>
      <c r="J13" s="3">
        <f>C13/F13</f>
        <v>0.29220779220779219</v>
      </c>
      <c r="M13" s="4" t="s">
        <v>35</v>
      </c>
      <c r="N13" s="4">
        <f>C13/N10</f>
        <v>0.67669172932330834</v>
      </c>
      <c r="P13" s="5" t="s">
        <v>41</v>
      </c>
      <c r="Q13" s="5">
        <f>(J13/(1-B17))/B2/B8</f>
        <v>2.3191094619666049E-3</v>
      </c>
    </row>
    <row r="15" spans="1:17" x14ac:dyDescent="0.25">
      <c r="B15" t="s">
        <v>21</v>
      </c>
      <c r="F15" t="s">
        <v>18</v>
      </c>
    </row>
    <row r="16" spans="1:17" x14ac:dyDescent="0.25">
      <c r="A16" t="s">
        <v>19</v>
      </c>
      <c r="B16">
        <v>0.3</v>
      </c>
      <c r="E16" t="s">
        <v>56</v>
      </c>
      <c r="F16">
        <f>J12*((1/(1-B16))-1)</f>
        <v>1.1868131868131868</v>
      </c>
    </row>
    <row r="17" spans="1:14" x14ac:dyDescent="0.25">
      <c r="A17" t="s">
        <v>20</v>
      </c>
      <c r="B17">
        <v>0.3</v>
      </c>
      <c r="E17" t="s">
        <v>57</v>
      </c>
      <c r="F17">
        <f>J13*((1/(1-B17))-1)</f>
        <v>0.12523191094619665</v>
      </c>
    </row>
    <row r="19" spans="1:14" x14ac:dyDescent="0.25">
      <c r="B19" t="s">
        <v>18</v>
      </c>
      <c r="F19" t="s">
        <v>15</v>
      </c>
      <c r="J19" t="s">
        <v>14</v>
      </c>
    </row>
    <row r="20" spans="1:14" x14ac:dyDescent="0.25">
      <c r="A20" s="3" t="s">
        <v>63</v>
      </c>
      <c r="B20" s="3">
        <f>C13*3.132</f>
        <v>2.0134285714285718</v>
      </c>
      <c r="E20" t="s">
        <v>27</v>
      </c>
      <c r="F20">
        <v>1.04</v>
      </c>
      <c r="I20" s="4" t="s">
        <v>26</v>
      </c>
      <c r="J20" s="4">
        <f>B20*F20</f>
        <v>2.0939657142857149</v>
      </c>
    </row>
    <row r="22" spans="1:14" x14ac:dyDescent="0.25">
      <c r="B22" t="s">
        <v>18</v>
      </c>
    </row>
    <row r="23" spans="1:14" x14ac:dyDescent="0.25">
      <c r="A23" t="s">
        <v>22</v>
      </c>
      <c r="B23">
        <f>B20-F16-F17</f>
        <v>0.7013834736691883</v>
      </c>
    </row>
    <row r="25" spans="1:14" x14ac:dyDescent="0.25">
      <c r="B25" t="s">
        <v>21</v>
      </c>
      <c r="F25" t="s">
        <v>18</v>
      </c>
      <c r="J25" t="s">
        <v>15</v>
      </c>
    </row>
    <row r="26" spans="1:14" x14ac:dyDescent="0.25">
      <c r="A26" t="s">
        <v>23</v>
      </c>
      <c r="B26">
        <v>0.4</v>
      </c>
      <c r="E26" s="2" t="s">
        <v>51</v>
      </c>
      <c r="F26" s="2">
        <f>B23/B26</f>
        <v>1.7534586841729707</v>
      </c>
      <c r="I26" t="s">
        <v>28</v>
      </c>
      <c r="J26">
        <v>0.92</v>
      </c>
      <c r="M26" s="3" t="s">
        <v>58</v>
      </c>
      <c r="N26" s="3">
        <f>F26*0.6</f>
        <v>1.0520752105037823</v>
      </c>
    </row>
    <row r="28" spans="1:14" x14ac:dyDescent="0.25">
      <c r="B28" t="s">
        <v>14</v>
      </c>
      <c r="F28" t="s">
        <v>30</v>
      </c>
      <c r="G28" t="s">
        <v>31</v>
      </c>
    </row>
    <row r="29" spans="1:14" x14ac:dyDescent="0.25">
      <c r="A29" s="4" t="s">
        <v>25</v>
      </c>
      <c r="B29" s="4">
        <f>F26*J26</f>
        <v>1.613181989439133</v>
      </c>
      <c r="E29" s="5" t="s">
        <v>29</v>
      </c>
      <c r="F29" s="5">
        <f>F26/(B8*B3)</f>
        <v>9.7414371342942809E-3</v>
      </c>
      <c r="G29" s="5">
        <f>F29*10000</f>
        <v>97.414371342942815</v>
      </c>
    </row>
    <row r="31" spans="1:14" x14ac:dyDescent="0.25">
      <c r="B31" t="s">
        <v>15</v>
      </c>
      <c r="F31" t="s">
        <v>31</v>
      </c>
      <c r="G31" t="s">
        <v>37</v>
      </c>
      <c r="J31" t="s">
        <v>18</v>
      </c>
      <c r="N31" t="s">
        <v>14</v>
      </c>
    </row>
    <row r="32" spans="1:14" x14ac:dyDescent="0.25">
      <c r="A32" t="s">
        <v>36</v>
      </c>
      <c r="B32">
        <v>2.7</v>
      </c>
      <c r="E32" s="5" t="s">
        <v>60</v>
      </c>
      <c r="F32" s="5">
        <v>18</v>
      </c>
      <c r="G32" s="5">
        <f>F32/10000</f>
        <v>1.8E-3</v>
      </c>
      <c r="I32" s="3" t="s">
        <v>38</v>
      </c>
      <c r="J32" s="3">
        <f>(B4+B5)*B8*G32</f>
        <v>0.34199999999999997</v>
      </c>
      <c r="M32" s="4" t="s">
        <v>39</v>
      </c>
      <c r="N32" s="4">
        <f>J32*B32</f>
        <v>0.9234</v>
      </c>
    </row>
    <row r="34" spans="1:14" x14ac:dyDescent="0.25">
      <c r="B34" t="s">
        <v>31</v>
      </c>
      <c r="C34" t="s">
        <v>37</v>
      </c>
      <c r="F34" t="s">
        <v>15</v>
      </c>
      <c r="J34" t="s">
        <v>18</v>
      </c>
    </row>
    <row r="35" spans="1:14" x14ac:dyDescent="0.25">
      <c r="A35" t="s">
        <v>42</v>
      </c>
      <c r="B35">
        <v>250</v>
      </c>
      <c r="C35">
        <f>B35/10000</f>
        <v>2.5000000000000001E-2</v>
      </c>
      <c r="E35" t="s">
        <v>43</v>
      </c>
      <c r="F35">
        <v>2</v>
      </c>
      <c r="I35" t="s">
        <v>44</v>
      </c>
      <c r="J35">
        <f>2*B8*C35</f>
        <v>0.5</v>
      </c>
    </row>
    <row r="36" spans="1:14" x14ac:dyDescent="0.25">
      <c r="B36" t="s">
        <v>31</v>
      </c>
      <c r="C36" t="s">
        <v>37</v>
      </c>
      <c r="F36" t="s">
        <v>18</v>
      </c>
      <c r="J36" t="s">
        <v>18</v>
      </c>
      <c r="N36" t="s">
        <v>14</v>
      </c>
    </row>
    <row r="37" spans="1:14" x14ac:dyDescent="0.25">
      <c r="A37" t="s">
        <v>45</v>
      </c>
      <c r="B37">
        <f>C37*10000</f>
        <v>6968.9423433709162</v>
      </c>
      <c r="C37">
        <f>Q12*18+Q13*18+F29*18+G32*19+C35*2</f>
        <v>0.69689423433709163</v>
      </c>
      <c r="E37" t="s">
        <v>61</v>
      </c>
      <c r="F37">
        <f>4*(B8^0.5)*C37*C35</f>
        <v>0.22037730687443324</v>
      </c>
      <c r="I37" s="3" t="s">
        <v>46</v>
      </c>
      <c r="J37" s="3">
        <f>J35+F37</f>
        <v>0.72037730687443324</v>
      </c>
      <c r="M37" s="4" t="s">
        <v>47</v>
      </c>
      <c r="N37" s="4">
        <f>J37*F35</f>
        <v>1.4407546137488665</v>
      </c>
    </row>
    <row r="39" spans="1:14" x14ac:dyDescent="0.25">
      <c r="B39" t="s">
        <v>14</v>
      </c>
      <c r="D39" t="s">
        <v>49</v>
      </c>
      <c r="F39" t="s">
        <v>59</v>
      </c>
      <c r="H39" t="s">
        <v>49</v>
      </c>
    </row>
    <row r="40" spans="1:14" x14ac:dyDescent="0.25">
      <c r="A40" s="4" t="s">
        <v>34</v>
      </c>
      <c r="B40">
        <f>N12</f>
        <v>2</v>
      </c>
      <c r="C40">
        <f>B40/B46</f>
        <v>0.22862384099727145</v>
      </c>
      <c r="D40">
        <f>C40*100</f>
        <v>22.862384099727144</v>
      </c>
      <c r="E40" s="3" t="s">
        <v>16</v>
      </c>
      <c r="F40">
        <f>J12</f>
        <v>2.7692307692307692</v>
      </c>
      <c r="G40">
        <f>F40/F46</f>
        <v>0.38518676369275973</v>
      </c>
      <c r="H40">
        <f>G40*100</f>
        <v>38.518676369275973</v>
      </c>
      <c r="M40">
        <f>60.5*(C12+C13)/F46</f>
        <v>20.55728001158127</v>
      </c>
    </row>
    <row r="41" spans="1:14" x14ac:dyDescent="0.25">
      <c r="A41" s="4" t="s">
        <v>35</v>
      </c>
      <c r="B41">
        <f>N13</f>
        <v>0.67669172932330834</v>
      </c>
      <c r="C41">
        <f>B41/B46</f>
        <v>7.7353931164490353E-2</v>
      </c>
      <c r="D41">
        <f t="shared" ref="D41:D47" si="0">C41*100</f>
        <v>7.7353931164490355</v>
      </c>
      <c r="E41" s="3" t="s">
        <v>17</v>
      </c>
      <c r="F41">
        <f>J13</f>
        <v>0.29220779220779219</v>
      </c>
      <c r="G41">
        <f>F41/F46</f>
        <v>4.0644707207839907E-2</v>
      </c>
      <c r="H41">
        <f t="shared" ref="H41:H47" si="1">G41*100</f>
        <v>4.0644707207839907</v>
      </c>
      <c r="M41">
        <f>60.5*(C12+C13)/B46</f>
        <v>16.894485335980512</v>
      </c>
    </row>
    <row r="42" spans="1:14" x14ac:dyDescent="0.25">
      <c r="A42" s="4" t="s">
        <v>62</v>
      </c>
      <c r="B42">
        <f>J20</f>
        <v>2.0939657142857149</v>
      </c>
      <c r="C42">
        <f>B42/B46</f>
        <v>0.23936524225829761</v>
      </c>
      <c r="D42">
        <f t="shared" si="0"/>
        <v>23.936524225829761</v>
      </c>
      <c r="E42" s="3" t="s">
        <v>63</v>
      </c>
      <c r="F42">
        <f>B20</f>
        <v>2.0134285714285718</v>
      </c>
      <c r="G42">
        <f>F42/F46</f>
        <v>0.28005829054490017</v>
      </c>
      <c r="H42">
        <f>G42*100</f>
        <v>28.005829054490018</v>
      </c>
    </row>
    <row r="43" spans="1:14" x14ac:dyDescent="0.25">
      <c r="A43" s="4" t="s">
        <v>25</v>
      </c>
      <c r="B43">
        <f>B29</f>
        <v>1.613181989439133</v>
      </c>
      <c r="C43">
        <f>B43/B46</f>
        <v>0.18440593132659719</v>
      </c>
      <c r="D43">
        <f t="shared" si="0"/>
        <v>18.440593132659718</v>
      </c>
      <c r="E43" s="3" t="s">
        <v>24</v>
      </c>
      <c r="F43">
        <f>N26</f>
        <v>1.0520752105037823</v>
      </c>
      <c r="G43">
        <f>F43/F46</f>
        <v>0.14633863309553613</v>
      </c>
      <c r="H43">
        <f t="shared" si="1"/>
        <v>14.633863309553613</v>
      </c>
    </row>
    <row r="44" spans="1:14" x14ac:dyDescent="0.25">
      <c r="A44" s="4" t="s">
        <v>39</v>
      </c>
      <c r="B44">
        <f>N32</f>
        <v>0.9234</v>
      </c>
      <c r="C44">
        <f>B44/B46</f>
        <v>0.10555562738844024</v>
      </c>
      <c r="D44">
        <f t="shared" si="0"/>
        <v>10.555562738844024</v>
      </c>
      <c r="E44" s="3" t="s">
        <v>38</v>
      </c>
      <c r="F44">
        <f>J32</f>
        <v>0.34199999999999997</v>
      </c>
      <c r="G44">
        <f>F44/F46</f>
        <v>4.7570565316055823E-2</v>
      </c>
      <c r="H44">
        <f t="shared" si="1"/>
        <v>4.7570565316055822</v>
      </c>
    </row>
    <row r="45" spans="1:14" x14ac:dyDescent="0.25">
      <c r="A45" s="4" t="s">
        <v>47</v>
      </c>
      <c r="B45">
        <f>N37</f>
        <v>1.4407546137488665</v>
      </c>
      <c r="C45">
        <f>B45/B46</f>
        <v>0.16469542686490304</v>
      </c>
      <c r="D45">
        <f t="shared" si="0"/>
        <v>16.469542686490303</v>
      </c>
      <c r="E45" s="3" t="s">
        <v>46</v>
      </c>
      <c r="F45">
        <f>J37</f>
        <v>0.72037730687443324</v>
      </c>
      <c r="G45">
        <f>F45/F46</f>
        <v>0.10020104014290825</v>
      </c>
      <c r="H45">
        <f t="shared" si="1"/>
        <v>10.020104014290824</v>
      </c>
    </row>
    <row r="46" spans="1:14" x14ac:dyDescent="0.25">
      <c r="A46" s="4" t="s">
        <v>48</v>
      </c>
      <c r="B46">
        <f>SUM(B40:B45)</f>
        <v>8.7479940467970234</v>
      </c>
      <c r="D46">
        <f t="shared" si="0"/>
        <v>0</v>
      </c>
      <c r="E46" s="3" t="s">
        <v>48</v>
      </c>
      <c r="F46">
        <f>SUM(F40:F45)</f>
        <v>7.1893196502453485</v>
      </c>
      <c r="H46">
        <f t="shared" si="1"/>
        <v>0</v>
      </c>
    </row>
    <row r="47" spans="1:14" x14ac:dyDescent="0.25">
      <c r="A47" s="4" t="s">
        <v>50</v>
      </c>
      <c r="B47">
        <f>B46/(C12+C13)</f>
        <v>3.5810501945952726</v>
      </c>
      <c r="D47">
        <f t="shared" si="0"/>
        <v>0</v>
      </c>
      <c r="H47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Liu</dc:creator>
  <cp:lastModifiedBy>Davis, Molly J</cp:lastModifiedBy>
  <dcterms:created xsi:type="dcterms:W3CDTF">2019-07-12T09:20:10Z</dcterms:created>
  <dcterms:modified xsi:type="dcterms:W3CDTF">2019-10-16T18:19:35Z</dcterms:modified>
</cp:coreProperties>
</file>