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nnonhouck/Documents/Lab_Materials/paper_sf-ip-ea/supplemental/finalized_data/"/>
    </mc:Choice>
  </mc:AlternateContent>
  <bookViews>
    <workbookView xWindow="0" yWindow="460" windowWidth="25580" windowHeight="14380" tabRatio="500"/>
  </bookViews>
  <sheets>
    <sheet name="Raw Data" sheetId="1" r:id="rId1"/>
    <sheet name="Parameter Extraction" sheetId="2" r:id="rId2"/>
    <sheet name="Summary" sheetId="9" r:id="rId3"/>
    <sheet name="Parameter Extraction (Guihery)" sheetId="10" r:id="rId4"/>
    <sheet name="Reconstruction (csv)" sheetId="7" state="hidden" r:id="rId5"/>
  </sheets>
  <definedNames>
    <definedName name="solver_adj" localSheetId="1" hidden="1">'Parameter Extraction'!$K$19,'Parameter Extraction'!$K$18</definedName>
    <definedName name="solver_adj" localSheetId="3" hidden="1">'Parameter Extraction (Guihery)'!$G$26,'Parameter Extraction (Guihery)'!$G$27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1</definedName>
    <definedName name="solver_eng" localSheetId="3" hidden="1">1</definedName>
    <definedName name="solver_itr" localSheetId="1" hidden="1">2147483647</definedName>
    <definedName name="solver_itr" localSheetId="3" hidden="1">2147483647</definedName>
    <definedName name="solver_lin" localSheetId="1" hidden="1">2</definedName>
    <definedName name="solver_lin" localSheetId="3" hidden="1">2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2</definedName>
    <definedName name="solver_neg" localSheetId="3" hidden="1">2</definedName>
    <definedName name="solver_nod" localSheetId="1" hidden="1">2147483647</definedName>
    <definedName name="solver_nod" localSheetId="3" hidden="1">2147483647</definedName>
    <definedName name="solver_num" localSheetId="1" hidden="1">0</definedName>
    <definedName name="solver_num" localSheetId="3" hidden="1">0</definedName>
    <definedName name="solver_opt" localSheetId="1" hidden="1">'Parameter Extraction'!$K$17</definedName>
    <definedName name="solver_opt" localSheetId="3" hidden="1">'Parameter Extraction (Guihery)'!$G$25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3</definedName>
    <definedName name="solver_typ" localSheetId="3" hidden="1">3</definedName>
    <definedName name="solver_val" localSheetId="1" hidden="1">0</definedName>
    <definedName name="solver_val" localSheetId="3" hidden="1">0</definedName>
    <definedName name="solver_ver" localSheetId="1" hidden="1">2</definedName>
    <definedName name="solver_ver" localSheetId="3" hidden="1">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0" l="1"/>
  <c r="T13" i="9"/>
  <c r="V26" i="9"/>
  <c r="V25" i="9"/>
  <c r="V24" i="9"/>
  <c r="V23" i="9"/>
  <c r="V22" i="9"/>
  <c r="U26" i="9"/>
  <c r="U25" i="9"/>
  <c r="U24" i="9"/>
  <c r="U23" i="9"/>
  <c r="U22" i="9"/>
  <c r="T26" i="9"/>
  <c r="T25" i="9"/>
  <c r="T24" i="9"/>
  <c r="T23" i="9"/>
  <c r="T22" i="9"/>
  <c r="I34" i="9"/>
  <c r="I35" i="9"/>
  <c r="I36" i="9"/>
  <c r="H34" i="9"/>
  <c r="H35" i="9"/>
  <c r="H36" i="9"/>
  <c r="G34" i="9"/>
  <c r="G35" i="9"/>
  <c r="G36" i="9"/>
  <c r="I31" i="9"/>
  <c r="I32" i="9"/>
  <c r="I33" i="9"/>
  <c r="H31" i="9"/>
  <c r="H32" i="9"/>
  <c r="H33" i="9"/>
  <c r="G31" i="9"/>
  <c r="G32" i="9"/>
  <c r="G33" i="9"/>
  <c r="I17" i="9"/>
  <c r="I18" i="9"/>
  <c r="I19" i="9"/>
  <c r="H17" i="9"/>
  <c r="H18" i="9"/>
  <c r="H19" i="9"/>
  <c r="G17" i="9"/>
  <c r="G18" i="9"/>
  <c r="G19" i="9"/>
  <c r="I14" i="9"/>
  <c r="I15" i="9"/>
  <c r="I16" i="9"/>
  <c r="H14" i="9"/>
  <c r="H15" i="9"/>
  <c r="H16" i="9"/>
  <c r="G14" i="9"/>
  <c r="G15" i="9"/>
  <c r="G16" i="9"/>
  <c r="S60" i="10"/>
  <c r="S61" i="10"/>
  <c r="P60" i="10"/>
  <c r="P61" i="10"/>
  <c r="P62" i="10"/>
  <c r="M60" i="10"/>
  <c r="M61" i="10"/>
  <c r="M62" i="10"/>
  <c r="S43" i="10"/>
  <c r="S44" i="10"/>
  <c r="S45" i="10"/>
  <c r="S46" i="10"/>
  <c r="S47" i="10"/>
  <c r="P43" i="10"/>
  <c r="P44" i="10"/>
  <c r="P45" i="10"/>
  <c r="P46" i="10"/>
  <c r="P47" i="10"/>
  <c r="M43" i="10"/>
  <c r="M44" i="10"/>
  <c r="M45" i="10"/>
  <c r="M46" i="10"/>
  <c r="M47" i="10"/>
  <c r="L44" i="10"/>
  <c r="O44" i="10"/>
  <c r="R44" i="10"/>
  <c r="O43" i="10"/>
  <c r="R43" i="10"/>
  <c r="L46" i="10"/>
  <c r="O46" i="10"/>
  <c r="R46" i="10"/>
  <c r="O45" i="10"/>
  <c r="R45" i="10"/>
  <c r="L45" i="10"/>
  <c r="L43" i="10"/>
  <c r="G4" i="10"/>
  <c r="G5" i="10"/>
  <c r="L5" i="10"/>
  <c r="L8" i="10"/>
  <c r="L7" i="10"/>
  <c r="M5" i="10"/>
  <c r="M6" i="10"/>
  <c r="M8" i="10"/>
  <c r="N5" i="10"/>
  <c r="N6" i="10"/>
  <c r="N8" i="10"/>
  <c r="M7" i="10"/>
  <c r="N7" i="10"/>
  <c r="O15" i="10"/>
  <c r="Q15" i="10"/>
  <c r="B12" i="10"/>
  <c r="B13" i="10"/>
  <c r="B14" i="10"/>
  <c r="H12" i="10"/>
  <c r="H13" i="10"/>
  <c r="O13" i="10"/>
  <c r="Q13" i="10"/>
  <c r="O14" i="10"/>
  <c r="Q14" i="10"/>
  <c r="Q16" i="10"/>
  <c r="O16" i="10"/>
  <c r="R47" i="10"/>
  <c r="Q17" i="10"/>
  <c r="R48" i="10"/>
  <c r="S48" i="10"/>
  <c r="P20" i="10"/>
  <c r="Q20" i="10"/>
  <c r="O18" i="10"/>
  <c r="P18" i="10"/>
  <c r="Q18" i="10"/>
  <c r="P19" i="10"/>
  <c r="Q19" i="10"/>
  <c r="Q21" i="10"/>
  <c r="O21" i="10"/>
  <c r="R49" i="10"/>
  <c r="S49" i="10"/>
  <c r="P15" i="10"/>
  <c r="P13" i="10"/>
  <c r="P14" i="10"/>
  <c r="P16" i="10"/>
  <c r="O47" i="10"/>
  <c r="P17" i="10"/>
  <c r="O48" i="10"/>
  <c r="P48" i="10"/>
  <c r="P21" i="10"/>
  <c r="O49" i="10"/>
  <c r="P49" i="10"/>
  <c r="L47" i="10"/>
  <c r="O17" i="10"/>
  <c r="L48" i="10"/>
  <c r="M48" i="10"/>
  <c r="L49" i="10"/>
  <c r="M49" i="10"/>
  <c r="R15" i="10"/>
  <c r="B18" i="10"/>
  <c r="B19" i="10"/>
  <c r="B21" i="10"/>
  <c r="I12" i="10"/>
  <c r="I13" i="10"/>
  <c r="R13" i="10"/>
  <c r="R14" i="10"/>
  <c r="R17" i="10"/>
  <c r="R16" i="10"/>
  <c r="L61" i="10"/>
  <c r="S15" i="10"/>
  <c r="S13" i="10"/>
  <c r="S14" i="10"/>
  <c r="S17" i="10"/>
  <c r="O61" i="10"/>
  <c r="T15" i="10"/>
  <c r="T13" i="10"/>
  <c r="T14" i="10"/>
  <c r="T17" i="10"/>
  <c r="R61" i="10"/>
  <c r="S16" i="10"/>
  <c r="O60" i="10"/>
  <c r="T16" i="10"/>
  <c r="R60" i="10"/>
  <c r="L60" i="10"/>
  <c r="D19" i="10"/>
  <c r="R54" i="10"/>
  <c r="L55" i="10"/>
  <c r="C19" i="10"/>
  <c r="O54" i="10"/>
  <c r="S20" i="10"/>
  <c r="T20" i="10"/>
  <c r="R18" i="10"/>
  <c r="S18" i="10"/>
  <c r="T18" i="10"/>
  <c r="R19" i="10"/>
  <c r="S19" i="10"/>
  <c r="T19" i="10"/>
  <c r="T21" i="10"/>
  <c r="R21" i="10"/>
  <c r="R62" i="10"/>
  <c r="D20" i="10"/>
  <c r="D21" i="10"/>
  <c r="R55" i="10"/>
  <c r="T22" i="10"/>
  <c r="R63" i="10"/>
  <c r="I4" i="10"/>
  <c r="I5" i="10"/>
  <c r="R9" i="10"/>
  <c r="S9" i="10"/>
  <c r="T9" i="10"/>
  <c r="C20" i="10"/>
  <c r="I8" i="10"/>
  <c r="R10" i="10"/>
  <c r="S10" i="10"/>
  <c r="T10" i="10"/>
  <c r="T12" i="10"/>
  <c r="R11" i="10"/>
  <c r="R59" i="10"/>
  <c r="T11" i="10"/>
  <c r="R58" i="10"/>
  <c r="D14" i="10"/>
  <c r="R42" i="10"/>
  <c r="Q22" i="10"/>
  <c r="R50" i="10"/>
  <c r="L42" i="10"/>
  <c r="C12" i="10"/>
  <c r="O41" i="10"/>
  <c r="D12" i="10"/>
  <c r="R41" i="10"/>
  <c r="H4" i="10"/>
  <c r="H5" i="10"/>
  <c r="O5" i="10"/>
  <c r="P5" i="10"/>
  <c r="Q5" i="10"/>
  <c r="H6" i="10"/>
  <c r="H7" i="10"/>
  <c r="O6" i="10"/>
  <c r="P6" i="10"/>
  <c r="Q6" i="10"/>
  <c r="Q8" i="10"/>
  <c r="O7" i="10"/>
  <c r="Q7" i="10"/>
  <c r="D7" i="10"/>
  <c r="R29" i="10"/>
  <c r="M20" i="10"/>
  <c r="N20" i="10"/>
  <c r="G12" i="10"/>
  <c r="G13" i="10"/>
  <c r="L18" i="10"/>
  <c r="M18" i="10"/>
  <c r="N18" i="10"/>
  <c r="M19" i="10"/>
  <c r="N19" i="10"/>
  <c r="N22" i="10"/>
  <c r="L21" i="10"/>
  <c r="R37" i="10"/>
  <c r="L29" i="10"/>
  <c r="C4" i="10"/>
  <c r="C5" i="10"/>
  <c r="O28" i="10"/>
  <c r="D4" i="10"/>
  <c r="D5" i="10"/>
  <c r="R28" i="10"/>
  <c r="N21" i="10"/>
  <c r="R36" i="10"/>
  <c r="L9" i="10"/>
  <c r="M9" i="10"/>
  <c r="N9" i="10"/>
  <c r="G8" i="10"/>
  <c r="L10" i="10"/>
  <c r="M10" i="10"/>
  <c r="N10" i="10"/>
  <c r="N12" i="10"/>
  <c r="L11" i="10"/>
  <c r="R33" i="10"/>
  <c r="N11" i="10"/>
  <c r="R32" i="10"/>
  <c r="L15" i="10"/>
  <c r="N15" i="10"/>
  <c r="L13" i="10"/>
  <c r="M13" i="10"/>
  <c r="N13" i="10"/>
  <c r="L14" i="10"/>
  <c r="N14" i="10"/>
  <c r="N17" i="10"/>
  <c r="L16" i="10"/>
  <c r="R35" i="10"/>
  <c r="N16" i="10"/>
  <c r="R34" i="10"/>
  <c r="R5" i="10"/>
  <c r="S5" i="10"/>
  <c r="T5" i="10"/>
  <c r="I6" i="10"/>
  <c r="I7" i="10"/>
  <c r="R6" i="10"/>
  <c r="S6" i="10"/>
  <c r="T6" i="10"/>
  <c r="T8" i="10"/>
  <c r="R7" i="10"/>
  <c r="R57" i="10"/>
  <c r="T7" i="10"/>
  <c r="R56" i="10"/>
  <c r="R31" i="10"/>
  <c r="R30" i="10"/>
  <c r="H26" i="9"/>
  <c r="I26" i="9"/>
  <c r="H27" i="9"/>
  <c r="I27" i="9"/>
  <c r="G27" i="9"/>
  <c r="G26" i="9"/>
  <c r="H24" i="9"/>
  <c r="I24" i="9"/>
  <c r="G6" i="10"/>
  <c r="G7" i="10"/>
  <c r="G24" i="9"/>
  <c r="H23" i="9"/>
  <c r="I23" i="9"/>
  <c r="H25" i="9"/>
  <c r="I25" i="9"/>
  <c r="G25" i="9"/>
  <c r="G23" i="9"/>
  <c r="H9" i="9"/>
  <c r="I9" i="9"/>
  <c r="H10" i="9"/>
  <c r="I10" i="9"/>
  <c r="G10" i="9"/>
  <c r="G9" i="9"/>
  <c r="H8" i="9"/>
  <c r="I8" i="9"/>
  <c r="G8" i="9"/>
  <c r="H8" i="10"/>
  <c r="H7" i="9"/>
  <c r="I7" i="9"/>
  <c r="G7" i="9"/>
  <c r="H6" i="9"/>
  <c r="I6" i="9"/>
  <c r="G6" i="9"/>
  <c r="R8" i="10"/>
  <c r="L57" i="10"/>
  <c r="M57" i="10"/>
  <c r="L58" i="10"/>
  <c r="M58" i="10"/>
  <c r="R12" i="10"/>
  <c r="L59" i="10"/>
  <c r="M59" i="10"/>
  <c r="L62" i="10"/>
  <c r="R22" i="10"/>
  <c r="L63" i="10"/>
  <c r="M63" i="10"/>
  <c r="S57" i="10"/>
  <c r="S58" i="10"/>
  <c r="S59" i="10"/>
  <c r="S62" i="10"/>
  <c r="S63" i="10"/>
  <c r="S22" i="10"/>
  <c r="O63" i="10"/>
  <c r="P63" i="10"/>
  <c r="S11" i="10"/>
  <c r="O58" i="10"/>
  <c r="P58" i="10"/>
  <c r="S12" i="10"/>
  <c r="O59" i="10"/>
  <c r="P59" i="10"/>
  <c r="S21" i="10"/>
  <c r="O62" i="10"/>
  <c r="S50" i="10"/>
  <c r="P7" i="10"/>
  <c r="P8" i="10"/>
  <c r="P22" i="10"/>
  <c r="O50" i="10"/>
  <c r="P50" i="10"/>
  <c r="O8" i="10"/>
  <c r="O22" i="10"/>
  <c r="L50" i="10"/>
  <c r="M50" i="10"/>
  <c r="S32" i="10"/>
  <c r="S33" i="10"/>
  <c r="S34" i="10"/>
  <c r="S35" i="10"/>
  <c r="M11" i="10"/>
  <c r="O32" i="10"/>
  <c r="P32" i="10"/>
  <c r="M12" i="10"/>
  <c r="O33" i="10"/>
  <c r="P33" i="10"/>
  <c r="M15" i="10"/>
  <c r="M14" i="10"/>
  <c r="M16" i="10"/>
  <c r="O34" i="10"/>
  <c r="P34" i="10"/>
  <c r="M17" i="10"/>
  <c r="O35" i="10"/>
  <c r="P35" i="10"/>
  <c r="L34" i="10"/>
  <c r="M34" i="10"/>
  <c r="L17" i="10"/>
  <c r="L35" i="10"/>
  <c r="M35" i="10"/>
  <c r="L36" i="10"/>
  <c r="M36" i="10"/>
  <c r="L32" i="10"/>
  <c r="M32" i="10"/>
  <c r="L12" i="10"/>
  <c r="L33" i="10"/>
  <c r="M33" i="10"/>
  <c r="L22" i="10"/>
  <c r="L37" i="10"/>
  <c r="M37" i="10"/>
  <c r="G21" i="10"/>
  <c r="H21" i="10"/>
  <c r="I21" i="10"/>
  <c r="G22" i="10"/>
  <c r="H22" i="10"/>
  <c r="I22" i="10"/>
  <c r="C7" i="10"/>
  <c r="G23" i="10"/>
  <c r="H23" i="10"/>
  <c r="C21" i="10"/>
  <c r="I23" i="10"/>
  <c r="G24" i="10"/>
  <c r="H24" i="10"/>
  <c r="I24" i="10"/>
  <c r="G25" i="10"/>
  <c r="H25" i="10"/>
  <c r="I25" i="10"/>
  <c r="O9" i="10"/>
  <c r="P9" i="10"/>
  <c r="Q9" i="10"/>
  <c r="O10" i="10"/>
  <c r="P10" i="10"/>
  <c r="Q10" i="10"/>
  <c r="Q12" i="10"/>
  <c r="P12" i="10"/>
  <c r="O12" i="10"/>
  <c r="Q11" i="10"/>
  <c r="P11" i="10"/>
  <c r="O11" i="10"/>
  <c r="N4" i="9"/>
  <c r="N6" i="9"/>
  <c r="O4" i="9"/>
  <c r="O6" i="9"/>
  <c r="P4" i="9"/>
  <c r="P6" i="9"/>
  <c r="Q4" i="9"/>
  <c r="Q6" i="9"/>
  <c r="M4" i="9"/>
  <c r="M6" i="9"/>
  <c r="N8" i="9"/>
  <c r="O8" i="9"/>
  <c r="P8" i="9"/>
  <c r="Q8" i="9"/>
  <c r="M8" i="9"/>
  <c r="K13" i="2"/>
  <c r="K14" i="2"/>
  <c r="K15" i="2"/>
  <c r="K16" i="2"/>
  <c r="O42" i="10"/>
  <c r="O29" i="10"/>
  <c r="O55" i="10"/>
  <c r="D31" i="2"/>
  <c r="D32" i="2"/>
  <c r="B31" i="2"/>
  <c r="B32" i="2"/>
  <c r="T52" i="2"/>
  <c r="B35" i="2"/>
  <c r="B36" i="2"/>
  <c r="J11" i="2"/>
  <c r="J12" i="2"/>
  <c r="W9" i="2"/>
  <c r="X9" i="2"/>
  <c r="Y9" i="2"/>
  <c r="W11" i="2"/>
  <c r="X11" i="2"/>
  <c r="Y11" i="2"/>
  <c r="W10" i="2"/>
  <c r="X10" i="2"/>
  <c r="Y10" i="2"/>
  <c r="Y12" i="2"/>
  <c r="W12" i="2"/>
  <c r="T58" i="2"/>
  <c r="N53" i="2"/>
  <c r="C31" i="2"/>
  <c r="C32" i="2"/>
  <c r="Q52" i="2"/>
  <c r="W16" i="9"/>
  <c r="D33" i="2"/>
  <c r="D34" i="2"/>
  <c r="T53" i="2"/>
  <c r="Y13" i="2"/>
  <c r="T59" i="2"/>
  <c r="W17" i="9"/>
  <c r="W18" i="9"/>
  <c r="D22" i="2"/>
  <c r="D23" i="2"/>
  <c r="B22" i="2"/>
  <c r="B23" i="2"/>
  <c r="T41" i="2"/>
  <c r="B26" i="2"/>
  <c r="B27" i="2"/>
  <c r="I11" i="2"/>
  <c r="I12" i="2"/>
  <c r="T9" i="2"/>
  <c r="U9" i="2"/>
  <c r="V9" i="2"/>
  <c r="T11" i="2"/>
  <c r="U11" i="2"/>
  <c r="V11" i="2"/>
  <c r="T10" i="2"/>
  <c r="U10" i="2"/>
  <c r="V10" i="2"/>
  <c r="V12" i="2"/>
  <c r="T12" i="2"/>
  <c r="T47" i="2"/>
  <c r="N42" i="2"/>
  <c r="C22" i="2"/>
  <c r="C23" i="2"/>
  <c r="Q41" i="2"/>
  <c r="V16" i="9"/>
  <c r="D24" i="2"/>
  <c r="D25" i="2"/>
  <c r="T42" i="2"/>
  <c r="V13" i="2"/>
  <c r="T48" i="2"/>
  <c r="V17" i="9"/>
  <c r="V18" i="9"/>
  <c r="D13" i="2"/>
  <c r="D14" i="2"/>
  <c r="B13" i="2"/>
  <c r="B14" i="2"/>
  <c r="T30" i="2"/>
  <c r="B16" i="2"/>
  <c r="B17" i="2"/>
  <c r="H11" i="2"/>
  <c r="H12" i="2"/>
  <c r="Q9" i="2"/>
  <c r="R9" i="2"/>
  <c r="S9" i="2"/>
  <c r="Q11" i="2"/>
  <c r="R11" i="2"/>
  <c r="S11" i="2"/>
  <c r="Q10" i="2"/>
  <c r="R10" i="2"/>
  <c r="S10" i="2"/>
  <c r="S12" i="2"/>
  <c r="Q12" i="2"/>
  <c r="T36" i="2"/>
  <c r="N31" i="2"/>
  <c r="C13" i="2"/>
  <c r="C14" i="2"/>
  <c r="Q30" i="2"/>
  <c r="U16" i="9"/>
  <c r="D15" i="2"/>
  <c r="D16" i="2"/>
  <c r="T31" i="2"/>
  <c r="S13" i="2"/>
  <c r="T37" i="2"/>
  <c r="U17" i="9"/>
  <c r="U18" i="9"/>
  <c r="D4" i="2"/>
  <c r="D5" i="2"/>
  <c r="B4" i="2"/>
  <c r="B5" i="2"/>
  <c r="T19" i="2"/>
  <c r="B8" i="2"/>
  <c r="B9" i="2"/>
  <c r="G11" i="2"/>
  <c r="G12" i="2"/>
  <c r="N9" i="2"/>
  <c r="O9" i="2"/>
  <c r="P9" i="2"/>
  <c r="N11" i="2"/>
  <c r="O11" i="2"/>
  <c r="P11" i="2"/>
  <c r="N10" i="2"/>
  <c r="O10" i="2"/>
  <c r="P10" i="2"/>
  <c r="P12" i="2"/>
  <c r="N12" i="2"/>
  <c r="T25" i="2"/>
  <c r="N20" i="2"/>
  <c r="C4" i="2"/>
  <c r="C5" i="2"/>
  <c r="Q19" i="2"/>
  <c r="T16" i="9"/>
  <c r="D6" i="2"/>
  <c r="D7" i="2"/>
  <c r="T20" i="2"/>
  <c r="P13" i="2"/>
  <c r="T26" i="2"/>
  <c r="T17" i="9"/>
  <c r="T18" i="9"/>
  <c r="J4" i="2"/>
  <c r="J5" i="2"/>
  <c r="W5" i="2"/>
  <c r="X5" i="2"/>
  <c r="Y5" i="2"/>
  <c r="J6" i="2"/>
  <c r="J7" i="2"/>
  <c r="W6" i="2"/>
  <c r="X6" i="2"/>
  <c r="Y6" i="2"/>
  <c r="Y7" i="2"/>
  <c r="W7" i="2"/>
  <c r="T56" i="2"/>
  <c r="W13" i="9"/>
  <c r="Y8" i="2"/>
  <c r="T57" i="2"/>
  <c r="W14" i="9"/>
  <c r="W15" i="9"/>
  <c r="I4" i="2"/>
  <c r="I5" i="2"/>
  <c r="T5" i="2"/>
  <c r="U5" i="2"/>
  <c r="V5" i="2"/>
  <c r="I6" i="2"/>
  <c r="I7" i="2"/>
  <c r="T6" i="2"/>
  <c r="U6" i="2"/>
  <c r="V6" i="2"/>
  <c r="V7" i="2"/>
  <c r="T7" i="2"/>
  <c r="T45" i="2"/>
  <c r="V13" i="9"/>
  <c r="V8" i="2"/>
  <c r="T46" i="2"/>
  <c r="V14" i="9"/>
  <c r="V15" i="9"/>
  <c r="H4" i="2"/>
  <c r="H5" i="2"/>
  <c r="Q5" i="2"/>
  <c r="R5" i="2"/>
  <c r="S5" i="2"/>
  <c r="H6" i="2"/>
  <c r="H7" i="2"/>
  <c r="Q6" i="2"/>
  <c r="R6" i="2"/>
  <c r="S6" i="2"/>
  <c r="S7" i="2"/>
  <c r="Q7" i="2"/>
  <c r="T34" i="2"/>
  <c r="U13" i="9"/>
  <c r="S8" i="2"/>
  <c r="T35" i="2"/>
  <c r="U14" i="9"/>
  <c r="U15" i="9"/>
  <c r="G4" i="2"/>
  <c r="G5" i="2"/>
  <c r="N5" i="2"/>
  <c r="O5" i="2"/>
  <c r="P5" i="2"/>
  <c r="G6" i="2"/>
  <c r="G7" i="2"/>
  <c r="N6" i="2"/>
  <c r="O6" i="2"/>
  <c r="P6" i="2"/>
  <c r="P7" i="2"/>
  <c r="N7" i="2"/>
  <c r="T23" i="2"/>
  <c r="P8" i="2"/>
  <c r="T24" i="2"/>
  <c r="T14" i="9"/>
  <c r="T15" i="9"/>
  <c r="C26" i="2"/>
  <c r="C27" i="2"/>
  <c r="Q42" i="2"/>
  <c r="C33" i="2"/>
  <c r="C34" i="2"/>
  <c r="Q53" i="2"/>
  <c r="V27" i="9"/>
  <c r="C15" i="2"/>
  <c r="C16" i="2"/>
  <c r="Q31" i="2"/>
  <c r="U27" i="9"/>
  <c r="C8" i="2"/>
  <c r="C9" i="2"/>
  <c r="Q20" i="2"/>
  <c r="T27" i="9"/>
  <c r="H14" i="10"/>
  <c r="H15" i="10"/>
  <c r="H16" i="10"/>
  <c r="H17" i="10"/>
  <c r="H18" i="10"/>
  <c r="I14" i="10"/>
  <c r="I15" i="10"/>
  <c r="I16" i="10"/>
  <c r="I17" i="10"/>
  <c r="I18" i="10"/>
  <c r="G16" i="10"/>
  <c r="G14" i="10"/>
  <c r="G17" i="10"/>
  <c r="G15" i="10"/>
  <c r="G18" i="10"/>
  <c r="M21" i="10"/>
  <c r="M22" i="10"/>
  <c r="S8" i="10"/>
  <c r="O57" i="10"/>
  <c r="P57" i="10"/>
  <c r="S56" i="10"/>
  <c r="S7" i="10"/>
  <c r="O56" i="10"/>
  <c r="P56" i="10"/>
  <c r="L56" i="10"/>
  <c r="M56" i="10"/>
  <c r="S55" i="10"/>
  <c r="P55" i="10"/>
  <c r="M55" i="10"/>
  <c r="S54" i="10"/>
  <c r="P54" i="10"/>
  <c r="L54" i="10"/>
  <c r="M54" i="10"/>
  <c r="O53" i="10"/>
  <c r="P53" i="10"/>
  <c r="R53" i="10"/>
  <c r="S53" i="10"/>
  <c r="S42" i="10"/>
  <c r="P42" i="10"/>
  <c r="M42" i="10"/>
  <c r="S41" i="10"/>
  <c r="P41" i="10"/>
  <c r="L41" i="10"/>
  <c r="M41" i="10"/>
  <c r="O40" i="10"/>
  <c r="P40" i="10"/>
  <c r="R40" i="10"/>
  <c r="S40" i="10"/>
  <c r="S37" i="10"/>
  <c r="O37" i="10"/>
  <c r="P37" i="10"/>
  <c r="S36" i="10"/>
  <c r="O36" i="10"/>
  <c r="P36" i="10"/>
  <c r="S31" i="10"/>
  <c r="O31" i="10"/>
  <c r="P31" i="10"/>
  <c r="L31" i="10"/>
  <c r="M31" i="10"/>
  <c r="S30" i="10"/>
  <c r="O30" i="10"/>
  <c r="P30" i="10"/>
  <c r="L30" i="10"/>
  <c r="M30" i="10"/>
  <c r="S29" i="10"/>
  <c r="P29" i="10"/>
  <c r="M29" i="10"/>
  <c r="S28" i="10"/>
  <c r="P28" i="10"/>
  <c r="L28" i="10"/>
  <c r="M28" i="10"/>
  <c r="O27" i="10"/>
  <c r="P27" i="10"/>
  <c r="R27" i="10"/>
  <c r="S27" i="10"/>
  <c r="D17" i="10"/>
  <c r="C17" i="10"/>
  <c r="B17" i="10"/>
  <c r="D10" i="10"/>
  <c r="C10" i="10"/>
  <c r="B10" i="10"/>
  <c r="D3" i="10"/>
  <c r="C3" i="10"/>
  <c r="B3" i="10"/>
  <c r="N7" i="9"/>
  <c r="O7" i="9"/>
  <c r="P7" i="9"/>
  <c r="Q7" i="9"/>
  <c r="M7" i="9"/>
  <c r="N5" i="9"/>
  <c r="O5" i="9"/>
  <c r="P5" i="9"/>
  <c r="B40" i="2"/>
  <c r="B41" i="2"/>
  <c r="C40" i="2"/>
  <c r="C41" i="2"/>
  <c r="K6" i="2"/>
  <c r="B44" i="2"/>
  <c r="B45" i="2"/>
  <c r="K4" i="2"/>
  <c r="K5" i="2"/>
  <c r="K7" i="2"/>
  <c r="Q5" i="9"/>
  <c r="M5" i="9"/>
  <c r="D18" i="2"/>
  <c r="T33" i="2"/>
  <c r="D17" i="2"/>
  <c r="T32" i="2"/>
  <c r="U8" i="9"/>
  <c r="T4" i="9"/>
  <c r="U4" i="9"/>
  <c r="U5" i="9"/>
  <c r="U6" i="9"/>
  <c r="V4" i="9"/>
  <c r="V5" i="9"/>
  <c r="V6" i="9"/>
  <c r="W4" i="9"/>
  <c r="W5" i="9"/>
  <c r="W6" i="9"/>
  <c r="T5" i="9"/>
  <c r="T6" i="9"/>
  <c r="U7" i="9"/>
  <c r="U9" i="9"/>
  <c r="V7" i="9"/>
  <c r="V8" i="9"/>
  <c r="V9" i="9"/>
  <c r="W7" i="9"/>
  <c r="W8" i="9"/>
  <c r="W9" i="9"/>
  <c r="T7" i="9"/>
  <c r="T8" i="9"/>
  <c r="T9" i="9"/>
  <c r="B43" i="2"/>
  <c r="N66" i="2"/>
  <c r="A48" i="7"/>
  <c r="O66" i="2"/>
  <c r="B48" i="7"/>
  <c r="C43" i="2"/>
  <c r="Q66" i="2"/>
  <c r="D48" i="7"/>
  <c r="R66" i="2"/>
  <c r="E48" i="7"/>
  <c r="Z5" i="2"/>
  <c r="Z6" i="2"/>
  <c r="Z7" i="2"/>
  <c r="N67" i="2"/>
  <c r="A49" i="7"/>
  <c r="O67" i="2"/>
  <c r="B49" i="7"/>
  <c r="AA5" i="2"/>
  <c r="AA6" i="2"/>
  <c r="AA7" i="2"/>
  <c r="Q67" i="2"/>
  <c r="D49" i="7"/>
  <c r="R67" i="2"/>
  <c r="E49" i="7"/>
  <c r="AB5" i="2"/>
  <c r="AB6" i="2"/>
  <c r="AB7" i="2"/>
  <c r="T67" i="2"/>
  <c r="G49" i="7"/>
  <c r="U67" i="2"/>
  <c r="H49" i="7"/>
  <c r="Z8" i="2"/>
  <c r="N68" i="2"/>
  <c r="A50" i="7"/>
  <c r="O68" i="2"/>
  <c r="B50" i="7"/>
  <c r="AA8" i="2"/>
  <c r="Q68" i="2"/>
  <c r="D50" i="7"/>
  <c r="R68" i="2"/>
  <c r="E50" i="7"/>
  <c r="AB8" i="2"/>
  <c r="T68" i="2"/>
  <c r="G50" i="7"/>
  <c r="U68" i="2"/>
  <c r="H50" i="7"/>
  <c r="B42" i="2"/>
  <c r="C42" i="2"/>
  <c r="K11" i="2"/>
  <c r="K12" i="2"/>
  <c r="Z9" i="2"/>
  <c r="Z11" i="2"/>
  <c r="Z10" i="2"/>
  <c r="Z12" i="2"/>
  <c r="N69" i="2"/>
  <c r="A51" i="7"/>
  <c r="O69" i="2"/>
  <c r="B51" i="7"/>
  <c r="AA9" i="2"/>
  <c r="AA11" i="2"/>
  <c r="AA10" i="2"/>
  <c r="AA12" i="2"/>
  <c r="Q69" i="2"/>
  <c r="D51" i="7"/>
  <c r="R69" i="2"/>
  <c r="E51" i="7"/>
  <c r="AB9" i="2"/>
  <c r="AB11" i="2"/>
  <c r="AB10" i="2"/>
  <c r="AB12" i="2"/>
  <c r="T69" i="2"/>
  <c r="G51" i="7"/>
  <c r="U69" i="2"/>
  <c r="H51" i="7"/>
  <c r="Z13" i="2"/>
  <c r="N70" i="2"/>
  <c r="A52" i="7"/>
  <c r="O70" i="2"/>
  <c r="B52" i="7"/>
  <c r="AA13" i="2"/>
  <c r="Q70" i="2"/>
  <c r="D52" i="7"/>
  <c r="R70" i="2"/>
  <c r="E52" i="7"/>
  <c r="AB13" i="2"/>
  <c r="T70" i="2"/>
  <c r="G52" i="7"/>
  <c r="U70" i="2"/>
  <c r="H52" i="7"/>
  <c r="N63" i="2"/>
  <c r="A45" i="7"/>
  <c r="O63" i="2"/>
  <c r="B45" i="7"/>
  <c r="Q63" i="2"/>
  <c r="D45" i="7"/>
  <c r="R63" i="2"/>
  <c r="E45" i="7"/>
  <c r="N64" i="2"/>
  <c r="A46" i="7"/>
  <c r="O64" i="2"/>
  <c r="B46" i="7"/>
  <c r="C44" i="2"/>
  <c r="C45" i="2"/>
  <c r="Q64" i="2"/>
  <c r="D46" i="7"/>
  <c r="R64" i="2"/>
  <c r="E46" i="7"/>
  <c r="N65" i="2"/>
  <c r="A47" i="7"/>
  <c r="O65" i="2"/>
  <c r="B47" i="7"/>
  <c r="Q65" i="2"/>
  <c r="D47" i="7"/>
  <c r="R65" i="2"/>
  <c r="E47" i="7"/>
  <c r="N52" i="2"/>
  <c r="A34" i="7"/>
  <c r="O52" i="2"/>
  <c r="B34" i="7"/>
  <c r="D34" i="7"/>
  <c r="R52" i="2"/>
  <c r="E34" i="7"/>
  <c r="G34" i="7"/>
  <c r="U52" i="2"/>
  <c r="H34" i="7"/>
  <c r="A35" i="7"/>
  <c r="O53" i="2"/>
  <c r="B35" i="7"/>
  <c r="D35" i="7"/>
  <c r="R53" i="2"/>
  <c r="E35" i="7"/>
  <c r="G35" i="7"/>
  <c r="U53" i="2"/>
  <c r="H35" i="7"/>
  <c r="B33" i="2"/>
  <c r="N54" i="2"/>
  <c r="A36" i="7"/>
  <c r="O54" i="2"/>
  <c r="B36" i="7"/>
  <c r="C35" i="2"/>
  <c r="Q54" i="2"/>
  <c r="D36" i="7"/>
  <c r="R54" i="2"/>
  <c r="E36" i="7"/>
  <c r="D35" i="2"/>
  <c r="T54" i="2"/>
  <c r="G36" i="7"/>
  <c r="U54" i="2"/>
  <c r="H36" i="7"/>
  <c r="B34" i="2"/>
  <c r="N55" i="2"/>
  <c r="A37" i="7"/>
  <c r="O55" i="2"/>
  <c r="B37" i="7"/>
  <c r="C36" i="2"/>
  <c r="Q55" i="2"/>
  <c r="D37" i="7"/>
  <c r="R55" i="2"/>
  <c r="E37" i="7"/>
  <c r="D36" i="2"/>
  <c r="T55" i="2"/>
  <c r="G37" i="7"/>
  <c r="U55" i="2"/>
  <c r="H37" i="7"/>
  <c r="N56" i="2"/>
  <c r="A38" i="7"/>
  <c r="O56" i="2"/>
  <c r="B38" i="7"/>
  <c r="X7" i="2"/>
  <c r="Q56" i="2"/>
  <c r="D38" i="7"/>
  <c r="R56" i="2"/>
  <c r="E38" i="7"/>
  <c r="G38" i="7"/>
  <c r="U56" i="2"/>
  <c r="H38" i="7"/>
  <c r="W8" i="2"/>
  <c r="N57" i="2"/>
  <c r="A39" i="7"/>
  <c r="O57" i="2"/>
  <c r="B39" i="7"/>
  <c r="X8" i="2"/>
  <c r="Q57" i="2"/>
  <c r="D39" i="7"/>
  <c r="R57" i="2"/>
  <c r="E39" i="7"/>
  <c r="G39" i="7"/>
  <c r="U57" i="2"/>
  <c r="H39" i="7"/>
  <c r="N58" i="2"/>
  <c r="A40" i="7"/>
  <c r="O58" i="2"/>
  <c r="B40" i="7"/>
  <c r="X12" i="2"/>
  <c r="Q58" i="2"/>
  <c r="D40" i="7"/>
  <c r="R58" i="2"/>
  <c r="E40" i="7"/>
  <c r="G40" i="7"/>
  <c r="U58" i="2"/>
  <c r="H40" i="7"/>
  <c r="W13" i="2"/>
  <c r="N59" i="2"/>
  <c r="A41" i="7"/>
  <c r="O59" i="2"/>
  <c r="B41" i="7"/>
  <c r="X13" i="2"/>
  <c r="Q59" i="2"/>
  <c r="D41" i="7"/>
  <c r="R59" i="2"/>
  <c r="E41" i="7"/>
  <c r="G41" i="7"/>
  <c r="U59" i="2"/>
  <c r="H41" i="7"/>
  <c r="N41" i="2"/>
  <c r="A23" i="7"/>
  <c r="O41" i="2"/>
  <c r="B23" i="7"/>
  <c r="D23" i="7"/>
  <c r="R41" i="2"/>
  <c r="E23" i="7"/>
  <c r="G23" i="7"/>
  <c r="U41" i="2"/>
  <c r="H23" i="7"/>
  <c r="A24" i="7"/>
  <c r="O42" i="2"/>
  <c r="B24" i="7"/>
  <c r="D24" i="7"/>
  <c r="R42" i="2"/>
  <c r="E24" i="7"/>
  <c r="G24" i="7"/>
  <c r="U42" i="2"/>
  <c r="H24" i="7"/>
  <c r="B24" i="2"/>
  <c r="N43" i="2"/>
  <c r="A25" i="7"/>
  <c r="O43" i="2"/>
  <c r="B25" i="7"/>
  <c r="C24" i="2"/>
  <c r="Q43" i="2"/>
  <c r="D25" i="7"/>
  <c r="R43" i="2"/>
  <c r="E25" i="7"/>
  <c r="D26" i="2"/>
  <c r="T43" i="2"/>
  <c r="G25" i="7"/>
  <c r="U43" i="2"/>
  <c r="H25" i="7"/>
  <c r="B25" i="2"/>
  <c r="N44" i="2"/>
  <c r="A26" i="7"/>
  <c r="O44" i="2"/>
  <c r="B26" i="7"/>
  <c r="C25" i="2"/>
  <c r="Q44" i="2"/>
  <c r="D26" i="7"/>
  <c r="R44" i="2"/>
  <c r="E26" i="7"/>
  <c r="D27" i="2"/>
  <c r="T44" i="2"/>
  <c r="G26" i="7"/>
  <c r="U44" i="2"/>
  <c r="H26" i="7"/>
  <c r="N45" i="2"/>
  <c r="A27" i="7"/>
  <c r="O45" i="2"/>
  <c r="B27" i="7"/>
  <c r="U7" i="2"/>
  <c r="Q45" i="2"/>
  <c r="D27" i="7"/>
  <c r="R45" i="2"/>
  <c r="E27" i="7"/>
  <c r="G27" i="7"/>
  <c r="U45" i="2"/>
  <c r="H27" i="7"/>
  <c r="T8" i="2"/>
  <c r="N46" i="2"/>
  <c r="A28" i="7"/>
  <c r="O46" i="2"/>
  <c r="B28" i="7"/>
  <c r="U8" i="2"/>
  <c r="Q46" i="2"/>
  <c r="D28" i="7"/>
  <c r="R46" i="2"/>
  <c r="E28" i="7"/>
  <c r="G28" i="7"/>
  <c r="U46" i="2"/>
  <c r="H28" i="7"/>
  <c r="N47" i="2"/>
  <c r="A29" i="7"/>
  <c r="O47" i="2"/>
  <c r="B29" i="7"/>
  <c r="U12" i="2"/>
  <c r="Q47" i="2"/>
  <c r="D29" i="7"/>
  <c r="R47" i="2"/>
  <c r="E29" i="7"/>
  <c r="G29" i="7"/>
  <c r="U47" i="2"/>
  <c r="H29" i="7"/>
  <c r="T13" i="2"/>
  <c r="N48" i="2"/>
  <c r="A30" i="7"/>
  <c r="O48" i="2"/>
  <c r="B30" i="7"/>
  <c r="U13" i="2"/>
  <c r="Q48" i="2"/>
  <c r="D30" i="7"/>
  <c r="R48" i="2"/>
  <c r="E30" i="7"/>
  <c r="G30" i="7"/>
  <c r="U48" i="2"/>
  <c r="H30" i="7"/>
  <c r="N30" i="2"/>
  <c r="A12" i="7"/>
  <c r="O30" i="2"/>
  <c r="B12" i="7"/>
  <c r="D12" i="7"/>
  <c r="R30" i="2"/>
  <c r="E12" i="7"/>
  <c r="G12" i="7"/>
  <c r="U30" i="2"/>
  <c r="H12" i="7"/>
  <c r="A13" i="7"/>
  <c r="O31" i="2"/>
  <c r="B13" i="7"/>
  <c r="D13" i="7"/>
  <c r="R31" i="2"/>
  <c r="E13" i="7"/>
  <c r="G13" i="7"/>
  <c r="U31" i="2"/>
  <c r="H13" i="7"/>
  <c r="B15" i="2"/>
  <c r="N32" i="2"/>
  <c r="A14" i="7"/>
  <c r="O32" i="2"/>
  <c r="B14" i="7"/>
  <c r="C17" i="2"/>
  <c r="Q32" i="2"/>
  <c r="D14" i="7"/>
  <c r="R32" i="2"/>
  <c r="E14" i="7"/>
  <c r="G14" i="7"/>
  <c r="U32" i="2"/>
  <c r="H14" i="7"/>
  <c r="B18" i="2"/>
  <c r="N33" i="2"/>
  <c r="A15" i="7"/>
  <c r="O33" i="2"/>
  <c r="B15" i="7"/>
  <c r="C18" i="2"/>
  <c r="Q33" i="2"/>
  <c r="D15" i="7"/>
  <c r="R33" i="2"/>
  <c r="E15" i="7"/>
  <c r="G15" i="7"/>
  <c r="U33" i="2"/>
  <c r="H15" i="7"/>
  <c r="N34" i="2"/>
  <c r="A16" i="7"/>
  <c r="O34" i="2"/>
  <c r="B16" i="7"/>
  <c r="R7" i="2"/>
  <c r="Q34" i="2"/>
  <c r="D16" i="7"/>
  <c r="R34" i="2"/>
  <c r="E16" i="7"/>
  <c r="G16" i="7"/>
  <c r="U34" i="2"/>
  <c r="H16" i="7"/>
  <c r="Q8" i="2"/>
  <c r="N35" i="2"/>
  <c r="A17" i="7"/>
  <c r="O35" i="2"/>
  <c r="B17" i="7"/>
  <c r="R8" i="2"/>
  <c r="Q35" i="2"/>
  <c r="D17" i="7"/>
  <c r="R35" i="2"/>
  <c r="E17" i="7"/>
  <c r="G17" i="7"/>
  <c r="U35" i="2"/>
  <c r="H17" i="7"/>
  <c r="N36" i="2"/>
  <c r="A18" i="7"/>
  <c r="O36" i="2"/>
  <c r="B18" i="7"/>
  <c r="R12" i="2"/>
  <c r="Q36" i="2"/>
  <c r="D18" i="7"/>
  <c r="R36" i="2"/>
  <c r="E18" i="7"/>
  <c r="G18" i="7"/>
  <c r="U36" i="2"/>
  <c r="H18" i="7"/>
  <c r="Q13" i="2"/>
  <c r="N37" i="2"/>
  <c r="A19" i="7"/>
  <c r="O37" i="2"/>
  <c r="B19" i="7"/>
  <c r="R13" i="2"/>
  <c r="Q37" i="2"/>
  <c r="D19" i="7"/>
  <c r="R37" i="2"/>
  <c r="E19" i="7"/>
  <c r="G19" i="7"/>
  <c r="U37" i="2"/>
  <c r="H19" i="7"/>
  <c r="A2" i="7"/>
  <c r="O20" i="2"/>
  <c r="B2" i="7"/>
  <c r="D2" i="7"/>
  <c r="R20" i="2"/>
  <c r="E2" i="7"/>
  <c r="G2" i="7"/>
  <c r="U20" i="2"/>
  <c r="H2" i="7"/>
  <c r="B6" i="2"/>
  <c r="N21" i="2"/>
  <c r="A3" i="7"/>
  <c r="O21" i="2"/>
  <c r="B3" i="7"/>
  <c r="C6" i="2"/>
  <c r="Q21" i="2"/>
  <c r="D3" i="7"/>
  <c r="R21" i="2"/>
  <c r="E3" i="7"/>
  <c r="D8" i="2"/>
  <c r="T21" i="2"/>
  <c r="G3" i="7"/>
  <c r="U21" i="2"/>
  <c r="H3" i="7"/>
  <c r="B7" i="2"/>
  <c r="N22" i="2"/>
  <c r="A4" i="7"/>
  <c r="O22" i="2"/>
  <c r="B4" i="7"/>
  <c r="C7" i="2"/>
  <c r="Q22" i="2"/>
  <c r="D4" i="7"/>
  <c r="R22" i="2"/>
  <c r="E4" i="7"/>
  <c r="D9" i="2"/>
  <c r="T22" i="2"/>
  <c r="G4" i="7"/>
  <c r="U22" i="2"/>
  <c r="H4" i="7"/>
  <c r="N23" i="2"/>
  <c r="A5" i="7"/>
  <c r="O23" i="2"/>
  <c r="B5" i="7"/>
  <c r="O7" i="2"/>
  <c r="Q23" i="2"/>
  <c r="D5" i="7"/>
  <c r="R23" i="2"/>
  <c r="E5" i="7"/>
  <c r="G5" i="7"/>
  <c r="U23" i="2"/>
  <c r="H5" i="7"/>
  <c r="N8" i="2"/>
  <c r="N24" i="2"/>
  <c r="A6" i="7"/>
  <c r="O24" i="2"/>
  <c r="B6" i="7"/>
  <c r="O8" i="2"/>
  <c r="Q24" i="2"/>
  <c r="D6" i="7"/>
  <c r="R24" i="2"/>
  <c r="E6" i="7"/>
  <c r="G6" i="7"/>
  <c r="U24" i="2"/>
  <c r="H6" i="7"/>
  <c r="N25" i="2"/>
  <c r="A7" i="7"/>
  <c r="O25" i="2"/>
  <c r="B7" i="7"/>
  <c r="O12" i="2"/>
  <c r="Q25" i="2"/>
  <c r="D7" i="7"/>
  <c r="R25" i="2"/>
  <c r="E7" i="7"/>
  <c r="G7" i="7"/>
  <c r="U25" i="2"/>
  <c r="H7" i="7"/>
  <c r="N13" i="2"/>
  <c r="N26" i="2"/>
  <c r="A8" i="7"/>
  <c r="O26" i="2"/>
  <c r="B8" i="7"/>
  <c r="O13" i="2"/>
  <c r="Q26" i="2"/>
  <c r="D8" i="7"/>
  <c r="R26" i="2"/>
  <c r="E8" i="7"/>
  <c r="G8" i="7"/>
  <c r="U26" i="2"/>
  <c r="H8" i="7"/>
  <c r="G1" i="7"/>
  <c r="U19" i="2"/>
  <c r="H1" i="7"/>
  <c r="N19" i="2"/>
  <c r="O19" i="2"/>
  <c r="B1" i="7"/>
  <c r="D1" i="7"/>
  <c r="R19" i="2"/>
  <c r="E1" i="7"/>
  <c r="A1" i="7"/>
  <c r="J15" i="2"/>
  <c r="J16" i="2"/>
  <c r="I16" i="2"/>
  <c r="I15" i="2"/>
  <c r="H15" i="2"/>
  <c r="H16" i="2"/>
  <c r="H13" i="2"/>
  <c r="I13" i="2"/>
  <c r="J13" i="2"/>
  <c r="H14" i="2"/>
  <c r="I14" i="2"/>
  <c r="J14" i="2"/>
  <c r="G16" i="2"/>
  <c r="G14" i="2"/>
  <c r="G13" i="2"/>
  <c r="G15" i="2"/>
  <c r="Q62" i="2"/>
  <c r="R62" i="2"/>
  <c r="T62" i="2"/>
  <c r="U62" i="2"/>
  <c r="K17" i="2"/>
  <c r="Q51" i="2"/>
  <c r="R51" i="2"/>
  <c r="T51" i="2"/>
  <c r="U51" i="2"/>
  <c r="Q40" i="2"/>
  <c r="R40" i="2"/>
  <c r="T40" i="2"/>
  <c r="U40" i="2"/>
  <c r="Q29" i="2"/>
  <c r="R29" i="2"/>
  <c r="T29" i="2"/>
  <c r="U29" i="2"/>
  <c r="Q18" i="2"/>
  <c r="R18" i="2"/>
  <c r="T18" i="2"/>
  <c r="U18" i="2"/>
  <c r="H17" i="2"/>
  <c r="I17" i="2"/>
  <c r="J17" i="2"/>
  <c r="B2" i="2"/>
  <c r="B3" i="2"/>
  <c r="C3" i="2"/>
  <c r="D3" i="2"/>
  <c r="B11" i="2"/>
  <c r="B12" i="2"/>
  <c r="C12" i="2"/>
  <c r="D12" i="2"/>
  <c r="B20" i="2"/>
  <c r="B21" i="2"/>
  <c r="C21" i="2"/>
  <c r="D21" i="2"/>
  <c r="B29" i="2"/>
  <c r="B30" i="2"/>
  <c r="C30" i="2"/>
  <c r="D30" i="2"/>
  <c r="B38" i="2"/>
  <c r="B39" i="2"/>
  <c r="C39" i="2"/>
  <c r="D39" i="2"/>
  <c r="G17" i="2"/>
</calcChain>
</file>

<file path=xl/sharedStrings.xml><?xml version="1.0" encoding="utf-8"?>
<sst xmlns="http://schemas.openxmlformats.org/spreadsheetml/2006/main" count="324" uniqueCount="86">
  <si>
    <t>CAS</t>
  </si>
  <si>
    <t>S = 5/2</t>
  </si>
  <si>
    <t>S = 3/2</t>
  </si>
  <si>
    <t>S = 1/2</t>
  </si>
  <si>
    <t>CAS + h</t>
  </si>
  <si>
    <t>S = 3.5</t>
  </si>
  <si>
    <t>S = 2.5</t>
  </si>
  <si>
    <t>CAS + p</t>
  </si>
  <si>
    <t>1x</t>
  </si>
  <si>
    <t>S</t>
  </si>
  <si>
    <t>S=4.5</t>
  </si>
  <si>
    <t>DE(5/2-, 5/2+)</t>
  </si>
  <si>
    <t>t</t>
  </si>
  <si>
    <t>DE(5/2-, 3/2-)</t>
  </si>
  <si>
    <t>J</t>
  </si>
  <si>
    <t>ZGP Parameter Extraction (Analytical)</t>
  </si>
  <si>
    <t>AH-ZGP Parameter Extraction (Analytical)</t>
  </si>
  <si>
    <t>Calc. DE(5/2-, 3/2-)</t>
  </si>
  <si>
    <t>Calc. DE(5/2-, 3/2+)</t>
  </si>
  <si>
    <t>DDE</t>
  </si>
  <si>
    <t>δ</t>
  </si>
  <si>
    <t>True DE(5/2-, 3/2-)</t>
  </si>
  <si>
    <t>True DE(5/2-, 3/2+)</t>
  </si>
  <si>
    <t>Reconstruction of Energy Levels</t>
  </si>
  <si>
    <t>ZGP -</t>
  </si>
  <si>
    <t>ZGP +</t>
  </si>
  <si>
    <t>AH-ZGP -</t>
  </si>
  <si>
    <t>AH-ZGP +</t>
  </si>
  <si>
    <t>Ab Initio +</t>
  </si>
  <si>
    <t>Ab Initio -</t>
  </si>
  <si>
    <t>Ab Initio NH +</t>
  </si>
  <si>
    <t>Ab Initio NH -</t>
  </si>
  <si>
    <t>Graphing Reconstructed Energy Levels</t>
  </si>
  <si>
    <t>Calc. DE(5/2-, 1/2+)</t>
  </si>
  <si>
    <t>True DE(5/2-, 1/2+)</t>
  </si>
  <si>
    <t>Conversions</t>
  </si>
  <si>
    <t>cm^-1/hartree</t>
  </si>
  <si>
    <t>Average ZGP</t>
  </si>
  <si>
    <t>Average AH-ZGP</t>
  </si>
  <si>
    <t>S-, S+</t>
  </si>
  <si>
    <t>S-, Q-</t>
  </si>
  <si>
    <t>S-, Q+</t>
  </si>
  <si>
    <t>S-, D-</t>
  </si>
  <si>
    <t>S-, D+</t>
  </si>
  <si>
    <t>J'</t>
  </si>
  <si>
    <t>ROHF MOs</t>
  </si>
  <si>
    <t>104A</t>
  </si>
  <si>
    <t>105A</t>
  </si>
  <si>
    <t>106A</t>
  </si>
  <si>
    <t>107A</t>
  </si>
  <si>
    <t>108A</t>
  </si>
  <si>
    <t>109A</t>
  </si>
  <si>
    <t>RAS(h)-nSF-IP</t>
  </si>
  <si>
    <t>RAS(p)-nSF-IP</t>
  </si>
  <si>
    <t>CAS-nSF-IP</t>
  </si>
  <si>
    <t>RAS(h,p)-nSF-IP</t>
  </si>
  <si>
    <t>RAS(S)-nSF-IP</t>
  </si>
  <si>
    <t>RAS(h)</t>
  </si>
  <si>
    <t>RAS(p)</t>
  </si>
  <si>
    <t>RAS(h,p)</t>
  </si>
  <si>
    <t>RAS(S)</t>
  </si>
  <si>
    <t>Our Parameters</t>
  </si>
  <si>
    <t>ZGP</t>
  </si>
  <si>
    <t>AH-ZGP</t>
  </si>
  <si>
    <t>Reference Values</t>
  </si>
  <si>
    <t>CAS(5,6)CI</t>
  </si>
  <si>
    <t>CAS(5,6)+DDCI</t>
  </si>
  <si>
    <t>CAS(9,8)+DDCI</t>
  </si>
  <si>
    <t>`</t>
  </si>
  <si>
    <t>&lt;- matches paper (extracted using averages)</t>
  </si>
  <si>
    <t>J (Paper)</t>
  </si>
  <si>
    <t>&lt;- From Paper</t>
  </si>
  <si>
    <t>&lt;- taken directly from paper</t>
  </si>
  <si>
    <t>&lt;- near-matching for paper</t>
  </si>
  <si>
    <t>Paper AH-ZGP -</t>
  </si>
  <si>
    <t>Paper AH-ZGP +</t>
  </si>
  <si>
    <t>Paper ZGP -</t>
  </si>
  <si>
    <t>Paper ZGP +</t>
  </si>
  <si>
    <t>Guihery (Original)</t>
  </si>
  <si>
    <t>Guihery (High-Spin Only Extraction)</t>
  </si>
  <si>
    <t>Average</t>
  </si>
  <si>
    <t>% Errors Predicting S=0.5 States (Relative To Energy Gap)</t>
  </si>
  <si>
    <t>% Errors Predicting S=0.5 States (Relative To Full Spectrum)</t>
  </si>
  <si>
    <t>% Errors Relative to (h,p) Gaps (Full Spectrum)</t>
  </si>
  <si>
    <t>% Error Predicting S=0.5 State (Relative to Spectrum, Original)</t>
  </si>
  <si>
    <t>% Error Predicting S=0.5 State (Relative to Spectrum, HS-Only)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</si>
</sst>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"/>
    <numFmt numFmtId="166" formatCode="0.000"/>
    <numFmt numFmtId="167" formatCode="0.00000"/>
    <numFmt numFmtId="168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6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0" xfId="0" applyBorder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" xfId="0" applyBorder="1"/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6" xfId="0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0" fontId="0" fillId="0" borderId="21" xfId="0" applyBorder="1"/>
    <xf numFmtId="0" fontId="1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right"/>
    </xf>
    <xf numFmtId="167" fontId="0" fillId="0" borderId="4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26" xfId="0" applyBorder="1" applyAlignment="1">
      <alignment horizontal="right"/>
    </xf>
    <xf numFmtId="167" fontId="1" fillId="0" borderId="4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167" fontId="1" fillId="0" borderId="13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7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Font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167" fontId="0" fillId="0" borderId="0" xfId="0" applyNumberFormat="1" applyBorder="1"/>
    <xf numFmtId="167" fontId="0" fillId="0" borderId="7" xfId="0" applyNumberFormat="1" applyBorder="1"/>
    <xf numFmtId="167" fontId="0" fillId="0" borderId="0" xfId="0" applyNumberFormat="1" applyFont="1" applyBorder="1" applyAlignment="1"/>
    <xf numFmtId="2" fontId="0" fillId="0" borderId="0" xfId="0" applyNumberForma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1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31" xfId="0" applyBorder="1"/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168" fontId="0" fillId="0" borderId="4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/>
    <xf numFmtId="2" fontId="0" fillId="0" borderId="5" xfId="0" applyNumberFormat="1" applyBorder="1"/>
    <xf numFmtId="0" fontId="0" fillId="0" borderId="21" xfId="0" applyFill="1" applyBorder="1" applyAlignment="1">
      <alignment horizontal="right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/>
    <xf numFmtId="0" fontId="0" fillId="0" borderId="20" xfId="0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4" xfId="0" applyFill="1" applyBorder="1" applyAlignment="1">
      <alignment horizontal="right"/>
    </xf>
    <xf numFmtId="168" fontId="0" fillId="0" borderId="0" xfId="0" applyNumberFormat="1" applyAlignment="1">
      <alignment horizontal="center"/>
    </xf>
    <xf numFmtId="2" fontId="0" fillId="0" borderId="2" xfId="0" applyNumberFormat="1" applyBorder="1"/>
    <xf numFmtId="168" fontId="0" fillId="0" borderId="0" xfId="0" applyNumberFormat="1" applyBorder="1"/>
    <xf numFmtId="168" fontId="0" fillId="0" borderId="7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Border="1"/>
    <xf numFmtId="0" fontId="0" fillId="0" borderId="8" xfId="0" applyFon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16" xfId="0" applyBorder="1"/>
    <xf numFmtId="10" fontId="0" fillId="0" borderId="2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12" xfId="0" applyBorder="1"/>
    <xf numFmtId="10" fontId="0" fillId="0" borderId="12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Alignment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Extraction'!$M$19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Extraction'!$N$19:$U$19</c:f>
              <c:numCache>
                <c:formatCode>0.0000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-0.00776961888550431</c:v>
                </c:pt>
                <c:pt idx="4">
                  <c:v>-0.00776961888550431</c:v>
                </c:pt>
                <c:pt idx="6">
                  <c:v>-0.00447763873580698</c:v>
                </c:pt>
                <c:pt idx="7">
                  <c:v>-0.00447763873580698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Extraction'!$M$20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Extraction'!$N$20:$U$20</c:f>
              <c:numCache>
                <c:formatCode>0.0000</c:formatCode>
                <c:ptCount val="8"/>
                <c:pt idx="0">
                  <c:v>0.0830656752241339</c:v>
                </c:pt>
                <c:pt idx="1">
                  <c:v>0.0830656752241339</c:v>
                </c:pt>
                <c:pt idx="3">
                  <c:v>0.0373473780546192</c:v>
                </c:pt>
                <c:pt idx="4">
                  <c:v>0.0373473780546192</c:v>
                </c:pt>
                <c:pt idx="6">
                  <c:v>0.0150748643191037</c:v>
                </c:pt>
                <c:pt idx="7">
                  <c:v>0.0150748643191037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Extraction'!$M$21</c:f>
              <c:strCache>
                <c:ptCount val="1"/>
                <c:pt idx="0">
                  <c:v>Ab Initio NH -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Extraction'!$N$21:$U$21</c:f>
              <c:numCache>
                <c:formatCode>0.0000</c:formatCode>
                <c:ptCount val="8"/>
                <c:pt idx="0">
                  <c:v>0.0743908385547911</c:v>
                </c:pt>
                <c:pt idx="1">
                  <c:v>0.0743908385547911</c:v>
                </c:pt>
                <c:pt idx="3">
                  <c:v>0.0304418585146777</c:v>
                </c:pt>
                <c:pt idx="4">
                  <c:v>0.0304418585146777</c:v>
                </c:pt>
                <c:pt idx="6">
                  <c:v>0.0199781240844459</c:v>
                </c:pt>
                <c:pt idx="7">
                  <c:v>0.0199781240844459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Extraction'!$M$22</c:f>
              <c:strCache>
                <c:ptCount val="1"/>
                <c:pt idx="0">
                  <c:v>Ab Initio NH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Extraction'!$N$22:$U$22</c:f>
              <c:numCache>
                <c:formatCode>0.0000</c:formatCode>
                <c:ptCount val="8"/>
                <c:pt idx="0">
                  <c:v>0.0753158089146382</c:v>
                </c:pt>
                <c:pt idx="1">
                  <c:v>0.0753158089146382</c:v>
                </c:pt>
                <c:pt idx="3">
                  <c:v>0.0309661233541192</c:v>
                </c:pt>
                <c:pt idx="4">
                  <c:v>0.0309661233541192</c:v>
                </c:pt>
                <c:pt idx="6">
                  <c:v>0.0204341131848196</c:v>
                </c:pt>
                <c:pt idx="7">
                  <c:v>0.0204341131848196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Extraction'!$M$23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Extraction'!$N$23:$U$23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-0.00776961888550431</c:v>
                </c:pt>
                <c:pt idx="4">
                  <c:v>-0.00776961888550431</c:v>
                </c:pt>
                <c:pt idx="6" formatCode="0.00000">
                  <c:v>-0.00689367853519797</c:v>
                </c:pt>
                <c:pt idx="7">
                  <c:v>-0.00689367853519797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Extraction'!$M$24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Extraction'!$N$24:$U$24</c:f>
              <c:numCache>
                <c:formatCode>0.0000</c:formatCode>
                <c:ptCount val="8"/>
                <c:pt idx="0" formatCode="0.00000">
                  <c:v>0.0830656752241339</c:v>
                </c:pt>
                <c:pt idx="1">
                  <c:v>0.0830656752241339</c:v>
                </c:pt>
                <c:pt idx="3" formatCode="0.00000">
                  <c:v>0.0476074979305849</c:v>
                </c:pt>
                <c:pt idx="4">
                  <c:v>0.0476074979305849</c:v>
                </c:pt>
                <c:pt idx="6" formatCode="0.00000">
                  <c:v>0.0207948798728466</c:v>
                </c:pt>
                <c:pt idx="7">
                  <c:v>0.0207948798728466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'Parameter Extraction'!$M$25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Extraction'!$N$25:$U$25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-0.00776984292102241</c:v>
                </c:pt>
                <c:pt idx="4">
                  <c:v>-0.00776984292102241</c:v>
                </c:pt>
                <c:pt idx="6" formatCode="0.00000">
                  <c:v>-0.00847527110470454</c:v>
                </c:pt>
                <c:pt idx="7">
                  <c:v>-0.00847527110470454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'Parameter Extraction'!$M$26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Extraction'!$N$26:$U$26</c:f>
              <c:numCache>
                <c:formatCode>0.0000</c:formatCode>
                <c:ptCount val="8"/>
                <c:pt idx="0" formatCode="0.00000">
                  <c:v>0.0830656752241339</c:v>
                </c:pt>
                <c:pt idx="1">
                  <c:v>0.0830656752241339</c:v>
                </c:pt>
                <c:pt idx="3" formatCode="0.00000">
                  <c:v>0.0373473780309982</c:v>
                </c:pt>
                <c:pt idx="4">
                  <c:v>0.0373473780309982</c:v>
                </c:pt>
                <c:pt idx="6" formatCode="0.00000">
                  <c:v>0.0129462666978673</c:v>
                </c:pt>
                <c:pt idx="7">
                  <c:v>0.0129462666978673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393744"/>
        <c:axId val="-2075581728"/>
      </c:lineChart>
      <c:catAx>
        <c:axId val="-207339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075581728"/>
        <c:crosses val="autoZero"/>
        <c:auto val="1"/>
        <c:lblAlgn val="ctr"/>
        <c:lblOffset val="100"/>
        <c:noMultiLvlLbl val="0"/>
      </c:catAx>
      <c:valAx>
        <c:axId val="-2075581728"/>
        <c:scaling>
          <c:orientation val="minMax"/>
          <c:max val="0.09"/>
          <c:min val="-0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339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 + 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Extraction'!$M$30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Extraction'!$N$30:$U$30</c:f>
              <c:numCache>
                <c:formatCode>0.0000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-0.00423481851521501</c:v>
                </c:pt>
                <c:pt idx="4">
                  <c:v>-0.00423481851521501</c:v>
                </c:pt>
                <c:pt idx="6">
                  <c:v>-0.00195934194016445</c:v>
                </c:pt>
                <c:pt idx="7">
                  <c:v>-0.00195934194016445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Extraction'!$M$31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Extraction'!$N$31:$U$31</c:f>
              <c:numCache>
                <c:formatCode>0.0000</c:formatCode>
                <c:ptCount val="8"/>
                <c:pt idx="0">
                  <c:v>0.0506385583448718</c:v>
                </c:pt>
                <c:pt idx="1">
                  <c:v>0.0506385583448718</c:v>
                </c:pt>
                <c:pt idx="3">
                  <c:v>0.0271805389038491</c:v>
                </c:pt>
                <c:pt idx="4">
                  <c:v>0.0271805389038491</c:v>
                </c:pt>
                <c:pt idx="6">
                  <c:v>0.0123946008552593</c:v>
                </c:pt>
                <c:pt idx="7">
                  <c:v>0.0123946008552593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Extraction'!$M$32</c:f>
              <c:strCache>
                <c:ptCount val="1"/>
                <c:pt idx="0">
                  <c:v>Ab Initio NH 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Extraction'!$N$32:$U$32</c:f>
              <c:numCache>
                <c:formatCode>0.0000</c:formatCode>
                <c:ptCount val="8"/>
                <c:pt idx="0">
                  <c:v>0.0493677344793468</c:v>
                </c:pt>
                <c:pt idx="1">
                  <c:v>0.0493677344793468</c:v>
                </c:pt>
                <c:pt idx="3">
                  <c:v>0.0272177423494213</c:v>
                </c:pt>
                <c:pt idx="4">
                  <c:v>0.0272177423494213</c:v>
                </c:pt>
                <c:pt idx="6">
                  <c:v>0.0176568560791566</c:v>
                </c:pt>
                <c:pt idx="7">
                  <c:v>0.0176568560791566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Extraction'!$M$33</c:f>
              <c:strCache>
                <c:ptCount val="1"/>
                <c:pt idx="0">
                  <c:v>Ab Initio NH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Extraction'!$N$33:$U$33</c:f>
              <c:numCache>
                <c:formatCode>0.0000</c:formatCode>
                <c:ptCount val="8"/>
                <c:pt idx="0">
                  <c:v>0.0507907428391263</c:v>
                </c:pt>
                <c:pt idx="1">
                  <c:v>0.0507907428391263</c:v>
                </c:pt>
                <c:pt idx="3">
                  <c:v>0.0276821915094842</c:v>
                </c:pt>
                <c:pt idx="4">
                  <c:v>0.0276821915094842</c:v>
                </c:pt>
                <c:pt idx="6">
                  <c:v>0.0182675722599015</c:v>
                </c:pt>
                <c:pt idx="7">
                  <c:v>0.0182675722599015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Extraction'!$M$34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Extraction'!$N$34:$U$34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-0.00423481851521501</c:v>
                </c:pt>
                <c:pt idx="4">
                  <c:v>-0.00423481851521501</c:v>
                </c:pt>
                <c:pt idx="6" formatCode="0.00000">
                  <c:v>-0.00339980573468589</c:v>
                </c:pt>
                <c:pt idx="7">
                  <c:v>-0.00339980573468589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Extraction'!$M$35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Extraction'!$N$35:$U$35</c:f>
              <c:numCache>
                <c:formatCode>0.0000</c:formatCode>
                <c:ptCount val="8"/>
                <c:pt idx="0" formatCode="0.00000">
                  <c:v>0.0506385583448718</c:v>
                </c:pt>
                <c:pt idx="1">
                  <c:v>0.0506385583448718</c:v>
                </c:pt>
                <c:pt idx="3" formatCode="0.00000">
                  <c:v>0.0295242203813662</c:v>
                </c:pt>
                <c:pt idx="4">
                  <c:v>0.0295242203813662</c:v>
                </c:pt>
                <c:pt idx="6" formatCode="0.00000">
                  <c:v>0.0134797137136047</c:v>
                </c:pt>
                <c:pt idx="7">
                  <c:v>0.0134797137136047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'Parameter Extraction'!$M$36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Extraction'!$N$36:$U$36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-0.00423502150463896</c:v>
                </c:pt>
                <c:pt idx="4">
                  <c:v>-0.00423502150463896</c:v>
                </c:pt>
                <c:pt idx="6" formatCode="0.00000">
                  <c:v>-0.00390216995221779</c:v>
                </c:pt>
                <c:pt idx="7">
                  <c:v>-0.00390216995221779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'Parameter Extraction'!$M$37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Extraction'!$N$37:$U$37</c:f>
              <c:numCache>
                <c:formatCode>0.0000</c:formatCode>
                <c:ptCount val="8"/>
                <c:pt idx="0" formatCode="0.00000">
                  <c:v>0.0506385583448718</c:v>
                </c:pt>
                <c:pt idx="1">
                  <c:v>0.0506385583448718</c:v>
                </c:pt>
                <c:pt idx="3" formatCode="0.00000">
                  <c:v>0.0271812725407283</c:v>
                </c:pt>
                <c:pt idx="4">
                  <c:v>0.0271812725407283</c:v>
                </c:pt>
                <c:pt idx="6" formatCode="0.00000">
                  <c:v>0.0113252230312868</c:v>
                </c:pt>
                <c:pt idx="7">
                  <c:v>0.0113252230312868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273696"/>
        <c:axId val="1222894704"/>
      </c:lineChart>
      <c:catAx>
        <c:axId val="211327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22894704"/>
        <c:crosses val="autoZero"/>
        <c:auto val="1"/>
        <c:lblAlgn val="ctr"/>
        <c:lblOffset val="100"/>
        <c:noMultiLvlLbl val="0"/>
      </c:catAx>
      <c:valAx>
        <c:axId val="1222894704"/>
        <c:scaling>
          <c:orientation val="minMax"/>
          <c:max val="0.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2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 + 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Extraction'!$M$41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Extraction'!$N$41:$U$41</c:f>
              <c:numCache>
                <c:formatCode>0.0000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-0.00814151683516684</c:v>
                </c:pt>
                <c:pt idx="4">
                  <c:v>-0.00814151683516684</c:v>
                </c:pt>
                <c:pt idx="6">
                  <c:v>-0.00513083086934785</c:v>
                </c:pt>
                <c:pt idx="7">
                  <c:v>-0.00513083086934785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Extraction'!$M$42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Extraction'!$N$42:$U$42</c:f>
              <c:numCache>
                <c:formatCode>0.0000</c:formatCode>
                <c:ptCount val="8"/>
                <c:pt idx="0">
                  <c:v>0.0817245733560412</c:v>
                </c:pt>
                <c:pt idx="1">
                  <c:v>0.0817245733560412</c:v>
                </c:pt>
                <c:pt idx="3">
                  <c:v>0.0359632055897236</c:v>
                </c:pt>
                <c:pt idx="4">
                  <c:v>0.0359632055897236</c:v>
                </c:pt>
                <c:pt idx="6">
                  <c:v>0.0138326997948752</c:v>
                </c:pt>
                <c:pt idx="7">
                  <c:v>0.0138326997948752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Extraction'!$M$43</c:f>
              <c:strCache>
                <c:ptCount val="1"/>
                <c:pt idx="0">
                  <c:v>Ab Initio NH 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Extraction'!$N$43:$U$43</c:f>
              <c:numCache>
                <c:formatCode>0.0000</c:formatCode>
                <c:ptCount val="8"/>
                <c:pt idx="0">
                  <c:v>0.0732761518856932</c:v>
                </c:pt>
                <c:pt idx="1">
                  <c:v>0.0732761518856932</c:v>
                </c:pt>
                <c:pt idx="3">
                  <c:v>0.0329471929753708</c:v>
                </c:pt>
                <c:pt idx="4">
                  <c:v>0.0329471929753708</c:v>
                </c:pt>
                <c:pt idx="6">
                  <c:v>0.0191891987551571</c:v>
                </c:pt>
                <c:pt idx="7">
                  <c:v>0.0191891987551571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Extraction'!$M$44</c:f>
              <c:strCache>
                <c:ptCount val="1"/>
                <c:pt idx="0">
                  <c:v>Ab Initio NH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Extraction'!$N$44:$U$44</c:f>
              <c:numCache>
                <c:formatCode>0.0000</c:formatCode>
                <c:ptCount val="8"/>
                <c:pt idx="0">
                  <c:v>0.0741687034751521</c:v>
                </c:pt>
                <c:pt idx="1">
                  <c:v>0.0741687034751521</c:v>
                </c:pt>
                <c:pt idx="3">
                  <c:v>0.0335154425256405</c:v>
                </c:pt>
                <c:pt idx="4">
                  <c:v>0.0335154425256405</c:v>
                </c:pt>
                <c:pt idx="6">
                  <c:v>0.0195801720155941</c:v>
                </c:pt>
                <c:pt idx="7">
                  <c:v>0.0195801720155941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Extraction'!$M$45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Extraction'!$N$45:$U$45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-0.00814151683516684</c:v>
                </c:pt>
                <c:pt idx="4">
                  <c:v>-0.00814151683516684</c:v>
                </c:pt>
                <c:pt idx="6" formatCode="0.00000">
                  <c:v>-0.00757812204586419</c:v>
                </c:pt>
                <c:pt idx="7">
                  <c:v>-0.00757812204586419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Extraction'!$M$46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Extraction'!$N$46:$U$46</c:f>
              <c:numCache>
                <c:formatCode>0.0000</c:formatCode>
                <c:ptCount val="8"/>
                <c:pt idx="0" formatCode="0.00000">
                  <c:v>0.0817245733560412</c:v>
                </c:pt>
                <c:pt idx="1">
                  <c:v>0.0817245733560412</c:v>
                </c:pt>
                <c:pt idx="3" formatCode="0.00000">
                  <c:v>0.0463415320688606</c:v>
                </c:pt>
                <c:pt idx="4">
                  <c:v>0.0463415320688606</c:v>
                </c:pt>
                <c:pt idx="6" formatCode="0.00000">
                  <c:v>0.0196634024061495</c:v>
                </c:pt>
                <c:pt idx="7">
                  <c:v>0.0196634024061495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'Parameter Extraction'!$M$47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Extraction'!$N$47:$U$47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-0.00814134805702522</c:v>
                </c:pt>
                <c:pt idx="4">
                  <c:v>-0.00814134805702522</c:v>
                </c:pt>
                <c:pt idx="6" formatCode="0.00000">
                  <c:v>-0.00916097489015052</c:v>
                </c:pt>
                <c:pt idx="7">
                  <c:v>-0.00916097489015052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'Parameter Extraction'!$M$48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Extraction'!$N$48:$U$48</c:f>
              <c:numCache>
                <c:formatCode>0.0000</c:formatCode>
                <c:ptCount val="8"/>
                <c:pt idx="0" formatCode="0.00000">
                  <c:v>0.0817245733560412</c:v>
                </c:pt>
                <c:pt idx="1">
                  <c:v>0.0817245733560412</c:v>
                </c:pt>
                <c:pt idx="3" formatCode="0.00000">
                  <c:v>0.0359631770094675</c:v>
                </c:pt>
                <c:pt idx="4">
                  <c:v>0.0359631770094675</c:v>
                </c:pt>
                <c:pt idx="6" formatCode="0.00000">
                  <c:v>0.0117726029835639</c:v>
                </c:pt>
                <c:pt idx="7">
                  <c:v>0.0117726029835639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5972640"/>
        <c:axId val="1222762800"/>
      </c:lineChart>
      <c:catAx>
        <c:axId val="1235972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22762800"/>
        <c:crosses val="autoZero"/>
        <c:auto val="1"/>
        <c:lblAlgn val="ctr"/>
        <c:lblOffset val="100"/>
        <c:noMultiLvlLbl val="0"/>
      </c:catAx>
      <c:valAx>
        <c:axId val="1222762800"/>
        <c:scaling>
          <c:orientation val="minMax"/>
          <c:max val="0.08"/>
          <c:min val="-0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9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Extraction'!$M$52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Extraction'!$N$52:$U$52</c:f>
              <c:numCache>
                <c:formatCode>0.0000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-0.00470097773086309</c:v>
                </c:pt>
                <c:pt idx="4">
                  <c:v>-0.00470097773086309</c:v>
                </c:pt>
                <c:pt idx="6">
                  <c:v>-0.00244983289121592</c:v>
                </c:pt>
                <c:pt idx="7">
                  <c:v>-0.00244983289121592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Extraction'!$M$53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Extraction'!$N$53:$U$53</c:f>
              <c:numCache>
                <c:formatCode>0.0000</c:formatCode>
                <c:ptCount val="8"/>
                <c:pt idx="0">
                  <c:v>0.0531274145942007</c:v>
                </c:pt>
                <c:pt idx="1">
                  <c:v>0.0531274145942007</c:v>
                </c:pt>
                <c:pt idx="3">
                  <c:v>0.0277122229244924</c:v>
                </c:pt>
                <c:pt idx="4">
                  <c:v>0.0277122229244924</c:v>
                </c:pt>
                <c:pt idx="6">
                  <c:v>0.0121994398195966</c:v>
                </c:pt>
                <c:pt idx="7">
                  <c:v>0.0121994398195966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Extraction'!$M$54</c:f>
              <c:strCache>
                <c:ptCount val="1"/>
                <c:pt idx="0">
                  <c:v>Ab Initio NH 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Extraction'!$N$54:$U$54</c:f>
              <c:numCache>
                <c:formatCode>0.0000</c:formatCode>
                <c:ptCount val="8"/>
                <c:pt idx="0">
                  <c:v>0.0512256024594535</c:v>
                </c:pt>
                <c:pt idx="1">
                  <c:v>0.0512256024594535</c:v>
                </c:pt>
                <c:pt idx="3">
                  <c:v>0.0286691514793347</c:v>
                </c:pt>
                <c:pt idx="4">
                  <c:v>0.0286691514793347</c:v>
                </c:pt>
                <c:pt idx="6">
                  <c:v>0.01726425437937</c:v>
                </c:pt>
                <c:pt idx="7">
                  <c:v>0.01726425437937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Extraction'!$M$55</c:f>
              <c:strCache>
                <c:ptCount val="1"/>
                <c:pt idx="0">
                  <c:v>Ab Initio NH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Extraction'!$N$55:$U$55</c:f>
              <c:numCache>
                <c:formatCode>0.0000</c:formatCode>
                <c:ptCount val="8"/>
                <c:pt idx="0">
                  <c:v>0.0526147518394282</c:v>
                </c:pt>
                <c:pt idx="1">
                  <c:v>0.0526147518394282</c:v>
                </c:pt>
                <c:pt idx="3">
                  <c:v>0.0291838765297143</c:v>
                </c:pt>
                <c:pt idx="4">
                  <c:v>0.0291838765297143</c:v>
                </c:pt>
                <c:pt idx="6">
                  <c:v>0.0178463784295673</c:v>
                </c:pt>
                <c:pt idx="7">
                  <c:v>0.0178463784295673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Extraction'!$M$56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Extraction'!$N$56:$U$56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-0.00470097773086309</c:v>
                </c:pt>
                <c:pt idx="4">
                  <c:v>-0.00470097773086309</c:v>
                </c:pt>
                <c:pt idx="6" formatCode="0.00000">
                  <c:v>-0.00397973672976756</c:v>
                </c:pt>
                <c:pt idx="7">
                  <c:v>-0.00397973672976756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Extraction'!$M$57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Extraction'!$N$57:$U$57</c:f>
              <c:numCache>
                <c:formatCode>0.0000</c:formatCode>
                <c:ptCount val="8"/>
                <c:pt idx="0" formatCode="0.00000">
                  <c:v>0.0531274145942007</c:v>
                </c:pt>
                <c:pt idx="1">
                  <c:v>0.0531274145942007</c:v>
                </c:pt>
                <c:pt idx="3" formatCode="0.00000">
                  <c:v>0.0307172986652707</c:v>
                </c:pt>
                <c:pt idx="4">
                  <c:v>0.0307172986652707</c:v>
                </c:pt>
                <c:pt idx="6" formatCode="0.00000">
                  <c:v>0.0137294014682993</c:v>
                </c:pt>
                <c:pt idx="7">
                  <c:v>0.0137294014682993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'Parameter Extraction'!$M$58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Extraction'!$N$58:$U$58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-0.00470097780958844</c:v>
                </c:pt>
                <c:pt idx="4">
                  <c:v>-0.00470097780958844</c:v>
                </c:pt>
                <c:pt idx="6" formatCode="0.00000">
                  <c:v>-0.00458600331583299</c:v>
                </c:pt>
                <c:pt idx="7">
                  <c:v>-0.00458600331583299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'Parameter Extraction'!$M$59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Extraction'!$N$59:$U$59</c:f>
              <c:numCache>
                <c:formatCode>0.0000</c:formatCode>
                <c:ptCount val="8"/>
                <c:pt idx="0" formatCode="0.00000">
                  <c:v>0.0531274145942007</c:v>
                </c:pt>
                <c:pt idx="1">
                  <c:v>0.0531274145942007</c:v>
                </c:pt>
                <c:pt idx="3" formatCode="0.00000">
                  <c:v>0.0277122065482609</c:v>
                </c:pt>
                <c:pt idx="4">
                  <c:v>0.0277122065482609</c:v>
                </c:pt>
                <c:pt idx="6" formatCode="0.00000">
                  <c:v>0.0110528957009681</c:v>
                </c:pt>
                <c:pt idx="7">
                  <c:v>0.0110528957009681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304096"/>
        <c:axId val="1236675728"/>
      </c:lineChart>
      <c:catAx>
        <c:axId val="213830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6675728"/>
        <c:crosses val="autoZero"/>
        <c:auto val="1"/>
        <c:lblAlgn val="ctr"/>
        <c:lblOffset val="100"/>
        <c:noMultiLvlLbl val="0"/>
      </c:catAx>
      <c:valAx>
        <c:axId val="1236675728"/>
        <c:scaling>
          <c:orientation val="minMax"/>
          <c:max val="0.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0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Extraction'!$M$63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Extraction'!$N$63:$U$63</c:f>
              <c:numCache>
                <c:formatCode>0.0000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-0.00805600177045562</c:v>
                </c:pt>
                <c:pt idx="4">
                  <c:v>-0.00805600177045562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Extraction'!$M$64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Extraction'!$N$64:$U$64</c:f>
              <c:numCache>
                <c:formatCode>0.0000</c:formatCode>
                <c:ptCount val="8"/>
                <c:pt idx="0">
                  <c:v>0.0681727777446213</c:v>
                </c:pt>
                <c:pt idx="1">
                  <c:v>0.0681727777446213</c:v>
                </c:pt>
                <c:pt idx="3">
                  <c:v>0.0327834981690103</c:v>
                </c:pt>
                <c:pt idx="4">
                  <c:v>0.0327834981690103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Extraction'!$M$65</c:f>
              <c:strCache>
                <c:ptCount val="1"/>
                <c:pt idx="0">
                  <c:v>Ab Initio NH 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Extraction'!$N$65:$U$65</c:f>
              <c:numCache>
                <c:formatCode>0.0000</c:formatCode>
                <c:ptCount val="8"/>
                <c:pt idx="0">
                  <c:v>0.061477498399654</c:v>
                </c:pt>
                <c:pt idx="1">
                  <c:v>0.061477498399654</c:v>
                </c:pt>
                <c:pt idx="3">
                  <c:v>0.0274641668092954</c:v>
                </c:pt>
                <c:pt idx="4">
                  <c:v>0.0274641668092954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Extraction'!$M$66</c:f>
              <c:strCache>
                <c:ptCount val="1"/>
                <c:pt idx="0">
                  <c:v>Ab Initio NH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Extraction'!$N$66:$U$66</c:f>
              <c:numCache>
                <c:formatCode>0.0000</c:formatCode>
                <c:ptCount val="8"/>
                <c:pt idx="0">
                  <c:v>0.0626290083291678</c:v>
                </c:pt>
                <c:pt idx="1">
                  <c:v>0.0626290083291678</c:v>
                </c:pt>
                <c:pt idx="3">
                  <c:v>0.0281321190996095</c:v>
                </c:pt>
                <c:pt idx="4">
                  <c:v>0.0281321190996095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Extraction'!$M$67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Extraction'!$N$67:$U$67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-0.00805600177045562</c:v>
                </c:pt>
                <c:pt idx="4">
                  <c:v>-0.00805600177045562</c:v>
                </c:pt>
                <c:pt idx="6" formatCode="0.00000">
                  <c:v>-0.00834475098308758</c:v>
                </c:pt>
                <c:pt idx="7">
                  <c:v>-0.00834475098308758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Extraction'!$M$68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Extraction'!$N$68:$U$68</c:f>
              <c:numCache>
                <c:formatCode>0.0000</c:formatCode>
                <c:ptCount val="8"/>
                <c:pt idx="0" formatCode="0.00000">
                  <c:v>0.0681727777446213</c:v>
                </c:pt>
                <c:pt idx="1">
                  <c:v>0.0681727777446213</c:v>
                </c:pt>
                <c:pt idx="3" formatCode="0.00000">
                  <c:v>0.0373925167259585</c:v>
                </c:pt>
                <c:pt idx="4">
                  <c:v>0.0373925167259585</c:v>
                </c:pt>
                <c:pt idx="6" formatCode="0.00000">
                  <c:v>0.0143795082651195</c:v>
                </c:pt>
                <c:pt idx="7">
                  <c:v>0.0143795082651195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'Parameter Extraction'!$M$69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Extraction'!$N$69:$U$69</c:f>
              <c:numCache>
                <c:formatCode>0.0000</c:formatCode>
                <c:ptCount val="8"/>
                <c:pt idx="0" formatCode="0.00000">
                  <c:v>0.0</c:v>
                </c:pt>
                <c:pt idx="1">
                  <c:v>0.0</c:v>
                </c:pt>
                <c:pt idx="3" formatCode="0.00000">
                  <c:v>-0.0080560180955717</c:v>
                </c:pt>
                <c:pt idx="4">
                  <c:v>-0.0080560180955717</c:v>
                </c:pt>
                <c:pt idx="6" formatCode="0.00000">
                  <c:v>-0.00922313379830912</c:v>
                </c:pt>
                <c:pt idx="7">
                  <c:v>-0.00922313379830912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'Parameter Extraction'!$M$70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Extraction'!$N$18:$U$18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Extraction'!$N$70:$U$70</c:f>
              <c:numCache>
                <c:formatCode>0.0000</c:formatCode>
                <c:ptCount val="8"/>
                <c:pt idx="0" formatCode="0.00000">
                  <c:v>0.0681727777446213</c:v>
                </c:pt>
                <c:pt idx="1">
                  <c:v>0.0681727777446213</c:v>
                </c:pt>
                <c:pt idx="3" formatCode="0.00000">
                  <c:v>0.0327834980702074</c:v>
                </c:pt>
                <c:pt idx="4">
                  <c:v>0.0327834980702074</c:v>
                </c:pt>
                <c:pt idx="6" formatCode="0.00000">
                  <c:v>0.010399526889701</c:v>
                </c:pt>
                <c:pt idx="7">
                  <c:v>0.010399526889701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556176"/>
        <c:axId val="1223607632"/>
      </c:lineChart>
      <c:catAx>
        <c:axId val="-2131556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23607632"/>
        <c:crosses val="autoZero"/>
        <c:auto val="1"/>
        <c:lblAlgn val="ctr"/>
        <c:lblOffset val="100"/>
        <c:noMultiLvlLbl val="0"/>
      </c:catAx>
      <c:valAx>
        <c:axId val="1223607632"/>
        <c:scaling>
          <c:orientation val="minMax"/>
          <c:min val="-0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5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 (Guihery)'!$K$28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(Guihery)'!$L$28:$S$28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-1331.0</c:v>
                </c:pt>
                <c:pt idx="4">
                  <c:v>-1331.0</c:v>
                </c:pt>
                <c:pt idx="6">
                  <c:v>-608.0</c:v>
                </c:pt>
                <c:pt idx="7">
                  <c:v>-608.0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 (Guihery)'!$K$29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(Guihery)'!$L$29:$S$29</c:f>
              <c:numCache>
                <c:formatCode>0.00</c:formatCode>
                <c:ptCount val="8"/>
                <c:pt idx="0">
                  <c:v>19474.0</c:v>
                </c:pt>
                <c:pt idx="1">
                  <c:v>19474.0</c:v>
                </c:pt>
                <c:pt idx="3">
                  <c:v>7622.0</c:v>
                </c:pt>
                <c:pt idx="4">
                  <c:v>7622.0</c:v>
                </c:pt>
                <c:pt idx="6">
                  <c:v>3241.0</c:v>
                </c:pt>
                <c:pt idx="7">
                  <c:v>3241.0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 (Guihery)'!$K$30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(Guihery)'!$L$30:$S$30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-3346.833333333332</c:v>
                </c:pt>
                <c:pt idx="4">
                  <c:v>-3346.833333333332</c:v>
                </c:pt>
                <c:pt idx="6">
                  <c:v>-4056.666666666666</c:v>
                </c:pt>
                <c:pt idx="7">
                  <c:v>-4056.666666666666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 (Guihery)'!$K$31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(Guihery)'!$L$31:$S$31</c:f>
              <c:numCache>
                <c:formatCode>0.00</c:formatCode>
                <c:ptCount val="8"/>
                <c:pt idx="0">
                  <c:v>19474.0</c:v>
                </c:pt>
                <c:pt idx="1">
                  <c:v>19474.0</c:v>
                </c:pt>
                <c:pt idx="3">
                  <c:v>9635.833333333332</c:v>
                </c:pt>
                <c:pt idx="4">
                  <c:v>9635.833333333332</c:v>
                </c:pt>
                <c:pt idx="6">
                  <c:v>2434.666666666666</c:v>
                </c:pt>
                <c:pt idx="7">
                  <c:v>2434.666666666666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 (Guihery)'!$K$32</c:f>
              <c:strCache>
                <c:ptCount val="1"/>
                <c:pt idx="0">
                  <c:v>Paper ZGP -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(Guihery)'!$L$32:$S$32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-3345.833333333333</c:v>
                </c:pt>
                <c:pt idx="4">
                  <c:v>-3345.833333333333</c:v>
                </c:pt>
                <c:pt idx="6">
                  <c:v>-4055.066666666668</c:v>
                </c:pt>
                <c:pt idx="7">
                  <c:v>-4055.066666666668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 (Guihery)'!$K$33</c:f>
              <c:strCache>
                <c:ptCount val="1"/>
                <c:pt idx="0">
                  <c:v>Paper ZGP +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(Guihery)'!$L$33:$S$33</c:f>
              <c:numCache>
                <c:formatCode>0.00</c:formatCode>
                <c:ptCount val="8"/>
                <c:pt idx="0">
                  <c:v>19474.0</c:v>
                </c:pt>
                <c:pt idx="1">
                  <c:v>19474.0</c:v>
                </c:pt>
                <c:pt idx="3">
                  <c:v>9636.833333333332</c:v>
                </c:pt>
                <c:pt idx="4">
                  <c:v>9636.833333333332</c:v>
                </c:pt>
                <c:pt idx="6">
                  <c:v>2436.266666666665</c:v>
                </c:pt>
                <c:pt idx="7">
                  <c:v>2436.266666666665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'Parameter Extraction (Guihery)'!$K$34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(Guihery)'!$L$34:$S$34</c:f>
              <c:numCache>
                <c:formatCode>0.00</c:formatCode>
                <c:ptCount val="8"/>
                <c:pt idx="0" formatCode="0.0">
                  <c:v>0.0</c:v>
                </c:pt>
                <c:pt idx="1">
                  <c:v>0.0</c:v>
                </c:pt>
                <c:pt idx="3" formatCode="0.0">
                  <c:v>-1330.999352853394</c:v>
                </c:pt>
                <c:pt idx="4">
                  <c:v>-1330.999352853394</c:v>
                </c:pt>
                <c:pt idx="6" formatCode="0.0">
                  <c:v>-1344.404444679432</c:v>
                </c:pt>
                <c:pt idx="7">
                  <c:v>-1344.404444679432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'Parameter Extraction (Guihery)'!$K$35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(Guihery)'!$L$35:$S$35</c:f>
              <c:numCache>
                <c:formatCode>0.00</c:formatCode>
                <c:ptCount val="8"/>
                <c:pt idx="0" formatCode="0.0">
                  <c:v>19474.0</c:v>
                </c:pt>
                <c:pt idx="1">
                  <c:v>19474.0</c:v>
                </c:pt>
                <c:pt idx="3" formatCode="0.0">
                  <c:v>7621.9991639994</c:v>
                </c:pt>
                <c:pt idx="4">
                  <c:v>7621.9991639994</c:v>
                </c:pt>
                <c:pt idx="6" formatCode="0.0">
                  <c:v>2906.674999432656</c:v>
                </c:pt>
                <c:pt idx="7">
                  <c:v>2906.674999432656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'Parameter Extraction (Guihery)'!$K$36</c:f>
              <c:strCache>
                <c:ptCount val="1"/>
                <c:pt idx="0">
                  <c:v>Paper 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(Guihery)'!$L$36:$S$36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-1013.218286097426</c:v>
                </c:pt>
                <c:pt idx="4">
                  <c:v>-1013.218286097426</c:v>
                </c:pt>
                <c:pt idx="6">
                  <c:v>-862.4178786689026</c:v>
                </c:pt>
                <c:pt idx="7">
                  <c:v>-862.4178786689026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'Parameter Extraction (Guihery)'!$K$37</c:f>
              <c:strCache>
                <c:ptCount val="1"/>
                <c:pt idx="0">
                  <c:v>Paper 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(Guihery)'!$L$37:$S$37</c:f>
              <c:numCache>
                <c:formatCode>0.00</c:formatCode>
                <c:ptCount val="8"/>
                <c:pt idx="0">
                  <c:v>19474.0</c:v>
                </c:pt>
                <c:pt idx="1">
                  <c:v>19474.0</c:v>
                </c:pt>
                <c:pt idx="3">
                  <c:v>7613.158802154686</c:v>
                </c:pt>
                <c:pt idx="4">
                  <c:v>7613.158802154686</c:v>
                </c:pt>
                <c:pt idx="6">
                  <c:v>3239.783134436115</c:v>
                </c:pt>
                <c:pt idx="7">
                  <c:v>3239.783134436115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7877392"/>
        <c:axId val="1222946080"/>
      </c:lineChart>
      <c:catAx>
        <c:axId val="123787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946080"/>
        <c:crosses val="autoZero"/>
        <c:auto val="1"/>
        <c:lblAlgn val="ctr"/>
        <c:lblOffset val="100"/>
        <c:noMultiLvlLbl val="0"/>
      </c:catAx>
      <c:valAx>
        <c:axId val="12229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87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CAS(5,6)+DDCI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 (Guihery)'!$K$41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(Guihery)'!$L$41:$S$41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-2368.0</c:v>
                </c:pt>
                <c:pt idx="4">
                  <c:v>-2368.0</c:v>
                </c:pt>
                <c:pt idx="6">
                  <c:v>-1719.0</c:v>
                </c:pt>
                <c:pt idx="7">
                  <c:v>-1719.0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 (Guihery)'!$K$42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(Guihery)'!$L$42:$S$42</c:f>
              <c:numCache>
                <c:formatCode>0.00</c:formatCode>
                <c:ptCount val="8"/>
                <c:pt idx="0">
                  <c:v>15944.0</c:v>
                </c:pt>
                <c:pt idx="1">
                  <c:v>15944.0</c:v>
                </c:pt>
                <c:pt idx="3">
                  <c:v>7064.0</c:v>
                </c:pt>
                <c:pt idx="4">
                  <c:v>7064.0</c:v>
                </c:pt>
                <c:pt idx="6">
                  <c:v>2202.0</c:v>
                </c:pt>
                <c:pt idx="7">
                  <c:v>2202.0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 (Guihery)'!$K$43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(Guihery)'!$L$43:$S$43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-2368.0</c:v>
                </c:pt>
                <c:pt idx="4">
                  <c:v>-2368.0</c:v>
                </c:pt>
                <c:pt idx="6">
                  <c:v>-2725.866666666669</c:v>
                </c:pt>
                <c:pt idx="7">
                  <c:v>-2725.866666666669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 (Guihery)'!$K$44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(Guihery)'!$L$44:$S$44</c:f>
              <c:numCache>
                <c:formatCode>0.00</c:formatCode>
                <c:ptCount val="8"/>
                <c:pt idx="0">
                  <c:v>15944.0</c:v>
                </c:pt>
                <c:pt idx="1">
                  <c:v>15944.0</c:v>
                </c:pt>
                <c:pt idx="3">
                  <c:v>8261.333333333332</c:v>
                </c:pt>
                <c:pt idx="4">
                  <c:v>8261.333333333332</c:v>
                </c:pt>
                <c:pt idx="6">
                  <c:v>2588.799999999998</c:v>
                </c:pt>
                <c:pt idx="7">
                  <c:v>2588.799999999998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 (Guihery)'!$K$45</c:f>
              <c:strCache>
                <c:ptCount val="1"/>
                <c:pt idx="0">
                  <c:v>Paper ZGP -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(Guihery)'!$L$45:$S$45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-2966.666666666666</c:v>
                </c:pt>
                <c:pt idx="4">
                  <c:v>-2966.666666666666</c:v>
                </c:pt>
                <c:pt idx="6">
                  <c:v>-3683.733333333333</c:v>
                </c:pt>
                <c:pt idx="7">
                  <c:v>-3683.733333333333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 (Guihery)'!$K$46</c:f>
              <c:strCache>
                <c:ptCount val="1"/>
                <c:pt idx="0">
                  <c:v>Paper ZGP +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(Guihery)'!$L$46:$S$46</c:f>
              <c:numCache>
                <c:formatCode>0.00</c:formatCode>
                <c:ptCount val="8"/>
                <c:pt idx="0">
                  <c:v>15944.0</c:v>
                </c:pt>
                <c:pt idx="1">
                  <c:v>15944.0</c:v>
                </c:pt>
                <c:pt idx="3">
                  <c:v>7662.666666666666</c:v>
                </c:pt>
                <c:pt idx="4">
                  <c:v>7662.666666666666</c:v>
                </c:pt>
                <c:pt idx="6">
                  <c:v>1630.933333333333</c:v>
                </c:pt>
                <c:pt idx="7">
                  <c:v>1630.933333333333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'Parameter Extraction (Guihery)'!$K$47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(Guihery)'!$L$47:$S$47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-2368.000725507412</c:v>
                </c:pt>
                <c:pt idx="4">
                  <c:v>-2368.000725507412</c:v>
                </c:pt>
                <c:pt idx="6">
                  <c:v>-2946.204833447551</c:v>
                </c:pt>
                <c:pt idx="7">
                  <c:v>-2946.204833447551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'Parameter Extraction (Guihery)'!$K$48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(Guihery)'!$L$48:$S$48</c:f>
              <c:numCache>
                <c:formatCode>0.00</c:formatCode>
                <c:ptCount val="8"/>
                <c:pt idx="0">
                  <c:v>15944</c:v>
                </c:pt>
                <c:pt idx="1">
                  <c:v>15944</c:v>
                </c:pt>
                <c:pt idx="3">
                  <c:v>7063.99850817088</c:v>
                </c:pt>
                <c:pt idx="4">
                  <c:v>7063.99850817088</c:v>
                </c:pt>
                <c:pt idx="6">
                  <c:v>1574.722907328751</c:v>
                </c:pt>
                <c:pt idx="7">
                  <c:v>1574.722907328751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'Parameter Extraction (Guihery)'!$K$49</c:f>
              <c:strCache>
                <c:ptCount val="1"/>
                <c:pt idx="0">
                  <c:v>Paper 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(Guihery)'!$L$49:$S$49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-1707.0156092028</c:v>
                </c:pt>
                <c:pt idx="4">
                  <c:v>-1707.0156092028</c:v>
                </c:pt>
                <c:pt idx="6">
                  <c:v>-1961.176433622442</c:v>
                </c:pt>
                <c:pt idx="7">
                  <c:v>-1961.176433622442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'Parameter Extraction (Guihery)'!$K$50</c:f>
              <c:strCache>
                <c:ptCount val="1"/>
                <c:pt idx="0">
                  <c:v>Paper 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(Guihery)'!$L$50:$S$50</c:f>
              <c:numCache>
                <c:formatCode>0.00</c:formatCode>
                <c:ptCount val="8"/>
                <c:pt idx="0">
                  <c:v>15944.0</c:v>
                </c:pt>
                <c:pt idx="1">
                  <c:v>15944.0</c:v>
                </c:pt>
                <c:pt idx="3">
                  <c:v>7061.188378554415</c:v>
                </c:pt>
                <c:pt idx="4">
                  <c:v>7061.188378554415</c:v>
                </c:pt>
                <c:pt idx="6">
                  <c:v>2205.185942939506</c:v>
                </c:pt>
                <c:pt idx="7">
                  <c:v>2205.185942939506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831904"/>
        <c:axId val="2110802272"/>
      </c:lineChart>
      <c:catAx>
        <c:axId val="21108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02272"/>
        <c:crosses val="autoZero"/>
        <c:auto val="1"/>
        <c:lblAlgn val="ctr"/>
        <c:lblOffset val="100"/>
        <c:noMultiLvlLbl val="0"/>
      </c:catAx>
      <c:valAx>
        <c:axId val="21108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3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CAS(9,8)+DDCI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'Parameter Extraction (Guihery)'!$K$54</c:f>
              <c:strCache>
                <c:ptCount val="1"/>
                <c:pt idx="0">
                  <c:v>Ab Initio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(Guihery)'!$L$54:$S$54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-3123.0</c:v>
                </c:pt>
                <c:pt idx="4">
                  <c:v>-3123.0</c:v>
                </c:pt>
                <c:pt idx="6">
                  <c:v>-2225.0</c:v>
                </c:pt>
                <c:pt idx="7">
                  <c:v>-2225.0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'Parameter Extraction (Guihery)'!$K$55</c:f>
              <c:strCache>
                <c:ptCount val="1"/>
                <c:pt idx="0">
                  <c:v>Ab Initio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(Guihery)'!$L$55:$S$55</c:f>
              <c:numCache>
                <c:formatCode>0.00</c:formatCode>
                <c:ptCount val="8"/>
                <c:pt idx="0">
                  <c:v>16478.0</c:v>
                </c:pt>
                <c:pt idx="1">
                  <c:v>16478.0</c:v>
                </c:pt>
                <c:pt idx="3">
                  <c:v>7036.0</c:v>
                </c:pt>
                <c:pt idx="4">
                  <c:v>7036.0</c:v>
                </c:pt>
                <c:pt idx="6">
                  <c:v>1667.0</c:v>
                </c:pt>
                <c:pt idx="7">
                  <c:v>1667.0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'Parameter Extraction (Guihery)'!$K$56</c:f>
              <c:strCache>
                <c:ptCount val="1"/>
                <c:pt idx="0">
                  <c:v>ZGP -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(Guihery)'!$L$56:$S$56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-3123.0</c:v>
                </c:pt>
                <c:pt idx="4">
                  <c:v>-3123.0</c:v>
                </c:pt>
                <c:pt idx="6">
                  <c:v>-3898.266666666666</c:v>
                </c:pt>
                <c:pt idx="7">
                  <c:v>-3898.266666666666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'Parameter Extraction (Guihery)'!$K$57</c:f>
              <c:strCache>
                <c:ptCount val="1"/>
                <c:pt idx="0">
                  <c:v>ZGP +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(Guihery)'!$L$57:$S$57</c:f>
              <c:numCache>
                <c:formatCode>0.00</c:formatCode>
                <c:ptCount val="8"/>
                <c:pt idx="0">
                  <c:v>16478.0</c:v>
                </c:pt>
                <c:pt idx="1">
                  <c:v>16478.0</c:v>
                </c:pt>
                <c:pt idx="3">
                  <c:v>7862.333333333332</c:v>
                </c:pt>
                <c:pt idx="4">
                  <c:v>7862.333333333332</c:v>
                </c:pt>
                <c:pt idx="6">
                  <c:v>1594.399999999999</c:v>
                </c:pt>
                <c:pt idx="7">
                  <c:v>1594.399999999999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'Parameter Extraction (Guihery)'!$K$58</c:f>
              <c:strCache>
                <c:ptCount val="1"/>
                <c:pt idx="0">
                  <c:v>Paper ZGP -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(Guihery)'!$L$58:$S$58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-3536.166666666666</c:v>
                </c:pt>
                <c:pt idx="4">
                  <c:v>-3536.166666666666</c:v>
                </c:pt>
                <c:pt idx="6">
                  <c:v>-4559.333333333332</c:v>
                </c:pt>
                <c:pt idx="7">
                  <c:v>-4559.333333333332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'Parameter Extraction (Guihery)'!$K$59</c:f>
              <c:strCache>
                <c:ptCount val="1"/>
                <c:pt idx="0">
                  <c:v>Paper ZGP +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(Guihery)'!$L$59:$S$59</c:f>
              <c:numCache>
                <c:formatCode>0.00</c:formatCode>
                <c:ptCount val="8"/>
                <c:pt idx="0">
                  <c:v>16478.0</c:v>
                </c:pt>
                <c:pt idx="1">
                  <c:v>16478.0</c:v>
                </c:pt>
                <c:pt idx="3">
                  <c:v>7449.166666666666</c:v>
                </c:pt>
                <c:pt idx="4">
                  <c:v>7449.166666666666</c:v>
                </c:pt>
                <c:pt idx="6">
                  <c:v>933.333333333333</c:v>
                </c:pt>
                <c:pt idx="7">
                  <c:v>933.333333333333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'Parameter Extraction (Guihery)'!$K$60</c:f>
              <c:strCache>
                <c:ptCount val="1"/>
                <c:pt idx="0">
                  <c:v>AH-ZGP -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(Guihery)'!$L$60:$S$60</c:f>
              <c:numCache>
                <c:formatCode>0.00</c:formatCode>
                <c:ptCount val="8"/>
                <c:pt idx="0">
                  <c:v>0.0</c:v>
                </c:pt>
                <c:pt idx="1">
                  <c:v>0.0</c:v>
                </c:pt>
                <c:pt idx="3">
                  <c:v>-3122.99944606572</c:v>
                </c:pt>
                <c:pt idx="4">
                  <c:v>-3122.99944606572</c:v>
                </c:pt>
                <c:pt idx="6">
                  <c:v>-4071.198636466277</c:v>
                </c:pt>
                <c:pt idx="7">
                  <c:v>-4071.198636466277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'Parameter Extraction (Guihery)'!$K$61</c:f>
              <c:strCache>
                <c:ptCount val="1"/>
                <c:pt idx="0">
                  <c:v>AH-ZGP +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(Guihery)'!$L$61:$S$61</c:f>
              <c:numCache>
                <c:formatCode>0.00</c:formatCode>
                <c:ptCount val="8"/>
                <c:pt idx="0">
                  <c:v>16478.0</c:v>
                </c:pt>
                <c:pt idx="1">
                  <c:v>16478.0</c:v>
                </c:pt>
                <c:pt idx="3">
                  <c:v>7035.998930835575</c:v>
                </c:pt>
                <c:pt idx="4">
                  <c:v>7035.998930835575</c:v>
                </c:pt>
                <c:pt idx="6">
                  <c:v>843.9472473079859</c:v>
                </c:pt>
                <c:pt idx="7">
                  <c:v>843.9472473079859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'Parameter Extraction (Guihery)'!$K$62</c:f>
              <c:strCache>
                <c:ptCount val="1"/>
                <c:pt idx="0">
                  <c:v>Paper AH-ZGP -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(Guihery)'!$L$62:$S$62</c:f>
              <c:numCache>
                <c:formatCode>0.00</c:formatCode>
                <c:ptCount val="8"/>
                <c:pt idx="0" formatCode="0.0">
                  <c:v>0.0</c:v>
                </c:pt>
                <c:pt idx="1">
                  <c:v>0.0</c:v>
                </c:pt>
                <c:pt idx="3" formatCode="0.0">
                  <c:v>-2214.919629313932</c:v>
                </c:pt>
                <c:pt idx="4">
                  <c:v>-2214.919629313932</c:v>
                </c:pt>
                <c:pt idx="6" formatCode="0.0">
                  <c:v>-2728.763743569154</c:v>
                </c:pt>
                <c:pt idx="7">
                  <c:v>-2728.763743569154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'Parameter Extraction (Guihery)'!$K$63</c:f>
              <c:strCache>
                <c:ptCount val="1"/>
                <c:pt idx="0">
                  <c:v>Paper AH-ZGP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'Parameter Extraction (Guihery)'!$L$27:$S$27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3">
                  <c:v>2.25</c:v>
                </c:pt>
                <c:pt idx="4">
                  <c:v>3.25</c:v>
                </c:pt>
                <c:pt idx="6">
                  <c:v>3.5</c:v>
                </c:pt>
                <c:pt idx="7">
                  <c:v>4.5</c:v>
                </c:pt>
              </c:numCache>
            </c:numRef>
          </c:cat>
          <c:val>
            <c:numRef>
              <c:f>'Parameter Extraction (Guihery)'!$L$63:$S$63</c:f>
              <c:numCache>
                <c:formatCode>0.00</c:formatCode>
                <c:ptCount val="8"/>
                <c:pt idx="0" formatCode="0.0">
                  <c:v>16478.0</c:v>
                </c:pt>
                <c:pt idx="1">
                  <c:v>16478.0</c:v>
                </c:pt>
                <c:pt idx="3" formatCode="0.0">
                  <c:v>7036.445643320527</c:v>
                </c:pt>
                <c:pt idx="4">
                  <c:v>7036.445643320527</c:v>
                </c:pt>
                <c:pt idx="6" formatCode="0.0">
                  <c:v>1674.606941388165</c:v>
                </c:pt>
                <c:pt idx="7">
                  <c:v>1674.606941388165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851248"/>
        <c:axId val="-2080159584"/>
      </c:lineChart>
      <c:catAx>
        <c:axId val="-207585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159584"/>
        <c:crosses val="autoZero"/>
        <c:auto val="1"/>
        <c:lblAlgn val="ctr"/>
        <c:lblOffset val="100"/>
        <c:noMultiLvlLbl val="0"/>
      </c:catAx>
      <c:valAx>
        <c:axId val="-208015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585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48</xdr:row>
      <xdr:rowOff>38100</xdr:rowOff>
    </xdr:from>
    <xdr:to>
      <xdr:col>6</xdr:col>
      <xdr:colOff>711200</xdr:colOff>
      <xdr:row>58</xdr:row>
      <xdr:rowOff>165100</xdr:rowOff>
    </xdr:to>
    <xdr:sp macro="" textlink="">
      <xdr:nvSpPr>
        <xdr:cNvPr id="2" name="TextBox 1"/>
        <xdr:cNvSpPr txBox="1"/>
      </xdr:nvSpPr>
      <xdr:spPr>
        <a:xfrm>
          <a:off x="304800" y="10058400"/>
          <a:ext cx="434340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Additional</a:t>
          </a:r>
          <a:r>
            <a:rPr lang="en-US" sz="1100" b="1" baseline="0"/>
            <a:t> Notes:</a:t>
          </a:r>
        </a:p>
        <a:p>
          <a:r>
            <a:rPr lang="en-US" sz="1100" baseline="0"/>
            <a:t>- Used custom basis set:</a:t>
          </a:r>
        </a:p>
        <a:p>
          <a:r>
            <a:rPr lang="en-US" sz="1100" baseline="0"/>
            <a:t>	Re = LANL2DZ</a:t>
          </a:r>
        </a:p>
        <a:p>
          <a:r>
            <a:rPr lang="en-US" sz="1100" baseline="0"/>
            <a:t>	Others = cc-pvdz</a:t>
          </a:r>
        </a:p>
        <a:p>
          <a:r>
            <a:rPr lang="en-US" sz="1100" baseline="0"/>
            <a:t>- No frozen_uocc or frozen_docc required!!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Geometry: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	-From experimental (Lis T, r.32 from </a:t>
          </a:r>
          <a:r>
            <a:rPr lang="en-US">
              <a:effectLst/>
            </a:rPr>
            <a:t>Guihéry paper)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</a:rPr>
            <a:t>	- </a:t>
          </a:r>
          <a:r>
            <a:rPr lang="en-US">
              <a:effectLst/>
            </a:rPr>
            <a:t>Guihéry</a:t>
          </a:r>
          <a:r>
            <a:rPr lang="en-US" baseline="0">
              <a:effectLst/>
            </a:rPr>
            <a:t> paper also used experimenal geometry</a:t>
          </a:r>
          <a:endParaRPr lang="en-US" sz="1100" baseline="0"/>
        </a:p>
        <a:p>
          <a:r>
            <a:rPr lang="en-US" sz="1100" baseline="0"/>
            <a:t>- Used DIRECT-type integrals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101601</xdr:colOff>
      <xdr:row>14</xdr:row>
      <xdr:rowOff>112889</xdr:rowOff>
    </xdr:from>
    <xdr:to>
      <xdr:col>26</xdr:col>
      <xdr:colOff>352778</xdr:colOff>
      <xdr:row>31</xdr:row>
      <xdr:rowOff>55034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101600</xdr:colOff>
      <xdr:row>31</xdr:row>
      <xdr:rowOff>138289</xdr:rowOff>
    </xdr:from>
    <xdr:to>
      <xdr:col>26</xdr:col>
      <xdr:colOff>366889</xdr:colOff>
      <xdr:row>46</xdr:row>
      <xdr:rowOff>141112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84667</xdr:colOff>
      <xdr:row>50</xdr:row>
      <xdr:rowOff>101601</xdr:rowOff>
    </xdr:from>
    <xdr:to>
      <xdr:col>28</xdr:col>
      <xdr:colOff>677333</xdr:colOff>
      <xdr:row>68</xdr:row>
      <xdr:rowOff>67734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84667</xdr:colOff>
      <xdr:row>69</xdr:row>
      <xdr:rowOff>50800</xdr:rowOff>
    </xdr:from>
    <xdr:to>
      <xdr:col>28</xdr:col>
      <xdr:colOff>677333</xdr:colOff>
      <xdr:row>87</xdr:row>
      <xdr:rowOff>33867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762000</xdr:colOff>
      <xdr:row>69</xdr:row>
      <xdr:rowOff>70557</xdr:rowOff>
    </xdr:from>
    <xdr:to>
      <xdr:col>36</xdr:col>
      <xdr:colOff>522110</xdr:colOff>
      <xdr:row>87</xdr:row>
      <xdr:rowOff>53624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288271</xdr:colOff>
      <xdr:row>23</xdr:row>
      <xdr:rowOff>88698</xdr:rowOff>
    </xdr:from>
    <xdr:to>
      <xdr:col>27</xdr:col>
      <xdr:colOff>48382</xdr:colOff>
      <xdr:row>40</xdr:row>
      <xdr:rowOff>89707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277183</xdr:colOff>
      <xdr:row>40</xdr:row>
      <xdr:rowOff>188485</xdr:rowOff>
    </xdr:from>
    <xdr:to>
      <xdr:col>27</xdr:col>
      <xdr:colOff>38302</xdr:colOff>
      <xdr:row>58</xdr:row>
      <xdr:rowOff>48383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256017</xdr:colOff>
      <xdr:row>59</xdr:row>
      <xdr:rowOff>7053</xdr:rowOff>
    </xdr:from>
    <xdr:to>
      <xdr:col>27</xdr:col>
      <xdr:colOff>17137</xdr:colOff>
      <xdr:row>76</xdr:row>
      <xdr:rowOff>77610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R66"/>
  <sheetViews>
    <sheetView tabSelected="1" workbookViewId="0">
      <selection activeCell="C16" sqref="C16"/>
    </sheetView>
  </sheetViews>
  <sheetFormatPr baseColWidth="10" defaultRowHeight="16" x14ac:dyDescent="0.2"/>
  <cols>
    <col min="1" max="1" width="3.6640625" customWidth="1"/>
    <col min="2" max="2" width="11.33203125" bestFit="1" customWidth="1"/>
    <col min="6" max="6" width="7" customWidth="1"/>
  </cols>
  <sheetData>
    <row r="1" spans="2:18" ht="17" thickBot="1" x14ac:dyDescent="0.25">
      <c r="R1" s="1"/>
    </row>
    <row r="2" spans="2:18" ht="17" thickBot="1" x14ac:dyDescent="0.25">
      <c r="B2" s="239" t="s">
        <v>54</v>
      </c>
      <c r="C2" s="244"/>
      <c r="D2" s="240"/>
      <c r="F2" s="239" t="s">
        <v>45</v>
      </c>
      <c r="G2" s="240"/>
      <c r="H2" s="46"/>
      <c r="I2" s="46"/>
      <c r="J2" s="46"/>
      <c r="K2" s="46"/>
      <c r="L2" s="46"/>
      <c r="M2" s="46"/>
      <c r="N2" s="46"/>
      <c r="O2" s="46"/>
      <c r="P2" s="46"/>
      <c r="Q2" s="46"/>
      <c r="R2" s="1"/>
    </row>
    <row r="3" spans="2:18" ht="17" thickBot="1" x14ac:dyDescent="0.25">
      <c r="B3" s="3" t="s">
        <v>1</v>
      </c>
      <c r="C3" s="4" t="s">
        <v>2</v>
      </c>
      <c r="D3" s="5" t="s">
        <v>3</v>
      </c>
      <c r="F3" s="139" t="s">
        <v>46</v>
      </c>
      <c r="G3" s="79">
        <v>0.289186</v>
      </c>
      <c r="H3" s="19"/>
      <c r="O3" s="1"/>
      <c r="P3" s="1"/>
      <c r="Q3" s="1"/>
      <c r="R3" s="1"/>
    </row>
    <row r="4" spans="2:18" x14ac:dyDescent="0.2">
      <c r="B4" s="132">
        <v>-4826.7595812387999</v>
      </c>
      <c r="C4" s="133">
        <v>-4826.7673504816303</v>
      </c>
      <c r="D4" s="134">
        <v>-4826.7640584332703</v>
      </c>
      <c r="F4" s="139" t="s">
        <v>47</v>
      </c>
      <c r="G4" s="79">
        <v>0.28918700000000003</v>
      </c>
      <c r="H4" s="22"/>
      <c r="O4" s="1"/>
      <c r="P4" s="1"/>
      <c r="Q4" s="1"/>
      <c r="R4" s="1"/>
    </row>
    <row r="5" spans="2:18" x14ac:dyDescent="0.2">
      <c r="B5" s="10">
        <v>-4826.7595795881498</v>
      </c>
      <c r="C5" s="11">
        <v>-4826.7673495830904</v>
      </c>
      <c r="D5" s="12">
        <v>-4826.7640576711501</v>
      </c>
      <c r="F5" s="139" t="s">
        <v>48</v>
      </c>
      <c r="G5" s="79">
        <v>0.30139700000000003</v>
      </c>
      <c r="H5" s="24"/>
      <c r="I5" s="24"/>
      <c r="J5" s="24"/>
      <c r="K5" s="24"/>
      <c r="L5" s="24"/>
      <c r="M5" s="24"/>
      <c r="N5" s="24"/>
      <c r="O5" s="1"/>
      <c r="P5" s="1"/>
      <c r="Q5" s="1"/>
      <c r="R5" s="1"/>
    </row>
    <row r="6" spans="2:18" x14ac:dyDescent="0.2">
      <c r="B6" s="10">
        <v>-4826.6851895749196</v>
      </c>
      <c r="C6" s="11">
        <v>-4826.7291385549597</v>
      </c>
      <c r="D6" s="13">
        <v>-4826.7445058377598</v>
      </c>
      <c r="F6" s="139" t="s">
        <v>49</v>
      </c>
      <c r="G6" s="79">
        <v>0.30258400000000002</v>
      </c>
      <c r="H6" s="24"/>
      <c r="I6" s="24"/>
      <c r="J6" s="24"/>
      <c r="K6" s="24"/>
      <c r="L6" s="24"/>
      <c r="M6" s="24"/>
      <c r="N6" s="24"/>
      <c r="O6" s="1"/>
      <c r="P6" s="1"/>
      <c r="Q6" s="1"/>
      <c r="R6" s="1"/>
    </row>
    <row r="7" spans="2:18" x14ac:dyDescent="0.2">
      <c r="B7" s="10">
        <v>-4826.6842646045598</v>
      </c>
      <c r="C7" s="11">
        <v>-4826.7286142901203</v>
      </c>
      <c r="D7" s="12">
        <v>-4826.7445052605499</v>
      </c>
      <c r="F7" s="139" t="s">
        <v>50</v>
      </c>
      <c r="G7" s="79">
        <v>0.37357099999999999</v>
      </c>
      <c r="H7" s="24"/>
      <c r="I7" s="24"/>
      <c r="J7" s="24"/>
      <c r="K7" s="24"/>
      <c r="L7" s="24"/>
      <c r="M7" s="24"/>
      <c r="N7" s="24"/>
      <c r="O7" s="1"/>
      <c r="P7" s="1"/>
      <c r="Q7" s="1"/>
      <c r="R7" s="1"/>
    </row>
    <row r="8" spans="2:18" ht="17" thickBot="1" x14ac:dyDescent="0.25">
      <c r="B8" s="14">
        <v>-4826.6765149905495</v>
      </c>
      <c r="C8" s="15">
        <v>-4826.7222333043901</v>
      </c>
      <c r="D8" s="12">
        <v>-4826.7396022893899</v>
      </c>
      <c r="F8" s="140" t="s">
        <v>51</v>
      </c>
      <c r="G8" s="141">
        <v>0.37357299999999999</v>
      </c>
      <c r="H8" s="24"/>
      <c r="I8" s="24"/>
      <c r="J8" s="24"/>
      <c r="K8" s="24"/>
      <c r="L8" s="24"/>
      <c r="M8" s="24"/>
      <c r="N8" s="24"/>
      <c r="O8" s="1"/>
      <c r="P8" s="1"/>
      <c r="Q8" s="1"/>
      <c r="R8" s="1"/>
    </row>
    <row r="9" spans="2:18" ht="17" thickBot="1" x14ac:dyDescent="0.25">
      <c r="B9" s="16">
        <v>-4826.6765144859501</v>
      </c>
      <c r="C9" s="17">
        <v>-4826.7222327664504</v>
      </c>
      <c r="D9" s="18">
        <v>-4826.7391463002896</v>
      </c>
      <c r="F9" s="138"/>
      <c r="G9" s="24"/>
      <c r="H9" s="24"/>
      <c r="I9" s="24"/>
      <c r="J9" s="24"/>
      <c r="K9" s="24"/>
      <c r="L9" s="24"/>
      <c r="M9" s="24"/>
      <c r="N9" s="24"/>
      <c r="O9" s="1"/>
      <c r="P9" s="1"/>
      <c r="Q9" s="1"/>
      <c r="R9" s="1"/>
    </row>
    <row r="10" spans="2:18" ht="17" thickBot="1" x14ac:dyDescent="0.25">
      <c r="B10" s="11"/>
      <c r="C10" s="11"/>
      <c r="D10" s="11"/>
      <c r="F10" s="138"/>
      <c r="G10" s="24"/>
      <c r="H10" s="24"/>
      <c r="I10" s="24"/>
      <c r="J10" s="24"/>
      <c r="K10" s="24"/>
      <c r="L10" s="24"/>
      <c r="M10" s="24"/>
      <c r="N10" s="24"/>
      <c r="O10" s="1"/>
      <c r="P10" s="1"/>
      <c r="Q10" s="1"/>
      <c r="R10" s="1"/>
    </row>
    <row r="11" spans="2:18" ht="17" thickBot="1" x14ac:dyDescent="0.25">
      <c r="B11" s="245" t="s">
        <v>52</v>
      </c>
      <c r="C11" s="246"/>
      <c r="D11" s="24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7" thickBot="1" x14ac:dyDescent="0.25">
      <c r="B12" s="3" t="s">
        <v>1</v>
      </c>
      <c r="C12" s="130" t="s">
        <v>2</v>
      </c>
      <c r="D12" s="131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">
      <c r="B13" s="132">
        <v>-4826.8432899081099</v>
      </c>
      <c r="C13" s="133">
        <v>-4826.8475246118196</v>
      </c>
      <c r="D13" s="134">
        <v>-4826.8452491028502</v>
      </c>
      <c r="F13" s="1"/>
      <c r="G13" s="22"/>
      <c r="H13" s="22"/>
      <c r="I13" s="22"/>
      <c r="J13" s="22"/>
      <c r="K13" s="22"/>
      <c r="L13" s="22"/>
      <c r="M13" s="22"/>
      <c r="N13" s="22"/>
      <c r="O13" s="1"/>
      <c r="P13" s="1"/>
      <c r="Q13" s="1"/>
      <c r="R13" s="1"/>
    </row>
    <row r="14" spans="2:18" x14ac:dyDescent="0.2">
      <c r="B14" s="10">
        <v>-4826.8432892309102</v>
      </c>
      <c r="C14" s="11">
        <v>-4826.84752416423</v>
      </c>
      <c r="D14" s="12">
        <v>-4826.8452487200502</v>
      </c>
      <c r="F14" s="137"/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  <c r="R14" s="1"/>
    </row>
    <row r="15" spans="2:18" x14ac:dyDescent="0.2">
      <c r="B15" s="10">
        <v>-4826.7939218350302</v>
      </c>
      <c r="C15" s="15">
        <v>-4826.8161091517904</v>
      </c>
      <c r="D15" s="13">
        <v>-4826.8308951142199</v>
      </c>
      <c r="F15" s="137"/>
      <c r="G15" s="24"/>
      <c r="H15" s="24"/>
      <c r="I15" s="24"/>
      <c r="J15" s="24"/>
      <c r="K15" s="24"/>
      <c r="L15" s="24"/>
      <c r="M15" s="24"/>
      <c r="N15" s="24"/>
      <c r="O15" s="1"/>
      <c r="P15" s="1"/>
      <c r="Q15" s="1"/>
      <c r="R15" s="1"/>
    </row>
    <row r="16" spans="2:18" x14ac:dyDescent="0.2">
      <c r="B16" s="14">
        <v>-4826.7926510949101</v>
      </c>
      <c r="C16" s="273">
        <v>-4826.8161089094201</v>
      </c>
      <c r="D16" s="12">
        <v>-4826.8308948230897</v>
      </c>
      <c r="F16" s="138"/>
      <c r="G16" s="24"/>
      <c r="H16" s="24"/>
      <c r="I16" s="24"/>
      <c r="J16" s="24"/>
      <c r="K16" s="24"/>
      <c r="L16" s="24"/>
      <c r="M16" s="24"/>
      <c r="N16" s="24"/>
      <c r="O16" s="1"/>
      <c r="P16" s="1"/>
      <c r="Q16" s="1"/>
      <c r="R16" s="1"/>
    </row>
    <row r="17" spans="2:18" x14ac:dyDescent="0.2">
      <c r="B17" s="10">
        <v>-4826.7926509274203</v>
      </c>
      <c r="C17" s="11">
        <v>-4826.8160718271602</v>
      </c>
      <c r="D17" s="12">
        <v>-4826.8256327134304</v>
      </c>
      <c r="F17" s="138"/>
      <c r="G17" s="24"/>
      <c r="H17" s="24"/>
      <c r="I17" s="24"/>
      <c r="J17" s="24"/>
      <c r="K17" s="24"/>
      <c r="L17" s="24"/>
      <c r="M17" s="24"/>
      <c r="N17" s="24"/>
      <c r="O17" s="1"/>
      <c r="P17" s="1"/>
      <c r="Q17" s="1"/>
      <c r="R17" s="1"/>
    </row>
    <row r="18" spans="2:18" ht="17" thickBot="1" x14ac:dyDescent="0.25">
      <c r="B18" s="16">
        <v>-4826.7924988266705</v>
      </c>
      <c r="C18" s="17">
        <v>-4826.8156073780001</v>
      </c>
      <c r="D18" s="18">
        <v>-4826.8250219972497</v>
      </c>
      <c r="F18" s="138"/>
      <c r="G18" s="24"/>
      <c r="H18" s="24"/>
      <c r="I18" s="24"/>
      <c r="J18" s="24"/>
      <c r="K18" s="24"/>
      <c r="L18" s="24"/>
      <c r="M18" s="24"/>
      <c r="N18" s="24"/>
      <c r="O18" s="1"/>
      <c r="P18" s="1"/>
      <c r="Q18" s="1"/>
      <c r="R18" s="1"/>
    </row>
    <row r="19" spans="2:18" ht="17" thickBot="1" x14ac:dyDescent="0.25">
      <c r="B19" s="11"/>
      <c r="C19" s="11"/>
      <c r="D19" s="11"/>
      <c r="F19" s="138"/>
      <c r="G19" s="24"/>
      <c r="H19" s="24"/>
      <c r="I19" s="24"/>
      <c r="J19" s="24"/>
      <c r="K19" s="24"/>
      <c r="L19" s="24"/>
      <c r="M19" s="24"/>
      <c r="N19" s="24"/>
      <c r="O19" s="1"/>
      <c r="P19" s="1"/>
      <c r="Q19" s="1"/>
      <c r="R19" s="1"/>
    </row>
    <row r="20" spans="2:18" ht="17" thickBot="1" x14ac:dyDescent="0.25">
      <c r="B20" s="248" t="s">
        <v>53</v>
      </c>
      <c r="C20" s="249"/>
      <c r="D20" s="2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7" thickBot="1" x14ac:dyDescent="0.25">
      <c r="B21" s="3" t="s">
        <v>1</v>
      </c>
      <c r="C21" s="130" t="s">
        <v>2</v>
      </c>
      <c r="D21" s="131" t="s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">
      <c r="B22" s="132">
        <v>-4826.7756001255002</v>
      </c>
      <c r="C22" s="133">
        <v>-4826.7837412833496</v>
      </c>
      <c r="D22" s="134">
        <v>-4826.7807305347496</v>
      </c>
      <c r="F22" s="1"/>
      <c r="G22" s="22"/>
      <c r="H22" s="22"/>
      <c r="I22" s="22"/>
      <c r="J22" s="22"/>
      <c r="K22" s="22"/>
      <c r="L22" s="22"/>
      <c r="M22" s="22"/>
      <c r="N22" s="22"/>
      <c r="O22" s="1"/>
      <c r="P22" s="1"/>
      <c r="Q22" s="1"/>
      <c r="R22" s="1"/>
    </row>
    <row r="23" spans="2:18" x14ac:dyDescent="0.2">
      <c r="B23" s="10">
        <v>-4826.7755985636504</v>
      </c>
      <c r="C23" s="11">
        <v>-4826.7837404394704</v>
      </c>
      <c r="D23" s="12">
        <v>-4826.7807298161397</v>
      </c>
      <c r="F23" s="137"/>
      <c r="G23" s="24"/>
      <c r="H23" s="24"/>
      <c r="I23" s="24"/>
      <c r="J23" s="24"/>
      <c r="K23" s="24"/>
      <c r="L23" s="24"/>
      <c r="M23" s="24"/>
      <c r="N23" s="24"/>
      <c r="O23" s="1"/>
      <c r="P23" s="1"/>
      <c r="Q23" s="1"/>
      <c r="R23" s="1"/>
    </row>
    <row r="24" spans="2:18" x14ac:dyDescent="0.2">
      <c r="B24" s="10">
        <v>-4826.7023231926896</v>
      </c>
      <c r="C24" s="11">
        <v>-4826.7426521515999</v>
      </c>
      <c r="D24" s="13">
        <v>-4826.76176692435</v>
      </c>
      <c r="F24" s="137"/>
      <c r="G24" s="24"/>
      <c r="H24" s="24"/>
      <c r="I24" s="24"/>
      <c r="J24" s="24"/>
      <c r="K24" s="24"/>
      <c r="L24" s="24"/>
      <c r="M24" s="24"/>
      <c r="N24" s="24"/>
      <c r="O24" s="1"/>
      <c r="P24" s="1"/>
      <c r="Q24" s="1"/>
      <c r="R24" s="1"/>
    </row>
    <row r="25" spans="2:18" x14ac:dyDescent="0.2">
      <c r="B25" s="10">
        <v>-4826.7014306411002</v>
      </c>
      <c r="C25" s="11">
        <v>-4826.7420839020497</v>
      </c>
      <c r="D25" s="12">
        <v>-4826.76176636521</v>
      </c>
      <c r="F25" s="138"/>
      <c r="G25" s="24"/>
      <c r="H25" s="24"/>
      <c r="I25" s="24"/>
      <c r="J25" s="24"/>
      <c r="K25" s="24"/>
      <c r="L25" s="24"/>
      <c r="M25" s="24"/>
      <c r="N25" s="24"/>
      <c r="O25" s="1"/>
      <c r="P25" s="1"/>
      <c r="Q25" s="1"/>
      <c r="R25" s="1"/>
    </row>
    <row r="26" spans="2:18" x14ac:dyDescent="0.2">
      <c r="B26" s="14">
        <v>-4826.6938750101199</v>
      </c>
      <c r="C26" s="15">
        <v>-4826.7396364261604</v>
      </c>
      <c r="D26" s="12">
        <v>-4826.7564101458202</v>
      </c>
      <c r="F26" s="138"/>
      <c r="G26" s="24"/>
      <c r="H26" s="24"/>
      <c r="I26" s="24"/>
      <c r="J26" s="24"/>
      <c r="K26" s="24"/>
      <c r="L26" s="24"/>
      <c r="M26" s="24"/>
      <c r="N26" s="24"/>
      <c r="O26" s="1"/>
      <c r="P26" s="1"/>
      <c r="Q26" s="1"/>
      <c r="R26" s="1"/>
    </row>
    <row r="27" spans="2:18" ht="17" thickBot="1" x14ac:dyDescent="0.25">
      <c r="B27" s="16">
        <v>-4826.6938745323196</v>
      </c>
      <c r="C27" s="17">
        <v>-4826.7396358518099</v>
      </c>
      <c r="D27" s="18">
        <v>-4826.7560191725597</v>
      </c>
      <c r="F27" s="138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1"/>
    </row>
    <row r="28" spans="2:18" ht="17" thickBot="1" x14ac:dyDescent="0.25">
      <c r="B28" s="11"/>
      <c r="C28" s="11"/>
      <c r="D28" s="11"/>
      <c r="F28" s="138"/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  <c r="R28" s="1"/>
    </row>
    <row r="29" spans="2:18" ht="17" thickBot="1" x14ac:dyDescent="0.25">
      <c r="B29" s="245" t="s">
        <v>55</v>
      </c>
      <c r="C29" s="246"/>
      <c r="D29" s="24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7" thickBot="1" x14ac:dyDescent="0.25">
      <c r="B30" s="3" t="s">
        <v>1</v>
      </c>
      <c r="C30" s="130" t="s">
        <v>2</v>
      </c>
      <c r="D30" s="131" t="s">
        <v>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">
      <c r="B31" s="132">
        <v>-4826.8501997249195</v>
      </c>
      <c r="C31" s="133">
        <v>-4826.8549005892801</v>
      </c>
      <c r="D31" s="134">
        <v>-4826.85264941474</v>
      </c>
      <c r="F31" s="1"/>
      <c r="G31" s="22"/>
      <c r="H31" s="22"/>
      <c r="I31" s="22"/>
      <c r="J31" s="22"/>
      <c r="K31" s="22"/>
      <c r="L31" s="22"/>
      <c r="M31" s="22"/>
      <c r="N31" s="22"/>
      <c r="O31" s="1"/>
      <c r="P31" s="1"/>
      <c r="Q31" s="1"/>
      <c r="R31" s="1"/>
    </row>
    <row r="32" spans="2:18" x14ac:dyDescent="0.2">
      <c r="B32" s="10">
        <v>-4826.8501990646</v>
      </c>
      <c r="C32" s="11">
        <v>-4826.8549001557003</v>
      </c>
      <c r="D32" s="12">
        <v>-4826.8526490405602</v>
      </c>
      <c r="F32" s="137"/>
      <c r="G32" s="24"/>
      <c r="H32" s="24"/>
      <c r="I32" s="24"/>
      <c r="J32" s="24"/>
      <c r="K32" s="24"/>
      <c r="L32" s="24"/>
      <c r="M32" s="24"/>
      <c r="N32" s="24"/>
      <c r="O32" s="1"/>
      <c r="P32" s="1"/>
      <c r="Q32" s="1"/>
      <c r="R32" s="1"/>
    </row>
    <row r="33" spans="2:18" x14ac:dyDescent="0.2">
      <c r="B33" s="10">
        <v>-4826.7989737922999</v>
      </c>
      <c r="C33" s="15">
        <v>-4826.8224872955798</v>
      </c>
      <c r="D33" s="13">
        <v>-4826.8380000996303</v>
      </c>
      <c r="F33" s="137"/>
      <c r="G33" s="24"/>
      <c r="H33" s="24"/>
      <c r="I33" s="24"/>
      <c r="J33" s="24"/>
      <c r="K33" s="24"/>
      <c r="L33" s="24"/>
      <c r="M33" s="24"/>
      <c r="N33" s="24"/>
      <c r="O33" s="1"/>
      <c r="P33" s="1"/>
      <c r="Q33" s="1"/>
      <c r="R33" s="1"/>
    </row>
    <row r="34" spans="2:18" x14ac:dyDescent="0.2">
      <c r="B34" s="10">
        <v>-4826.7975846429199</v>
      </c>
      <c r="C34" s="11">
        <v>-4826.8224870480899</v>
      </c>
      <c r="D34" s="12">
        <v>-4826.83799981025</v>
      </c>
      <c r="F34" s="138"/>
      <c r="G34" s="24"/>
      <c r="H34" s="24"/>
      <c r="I34" s="24"/>
      <c r="J34" s="24"/>
      <c r="K34" s="24"/>
      <c r="L34" s="24"/>
      <c r="M34" s="24"/>
      <c r="N34" s="24"/>
      <c r="O34" s="1"/>
      <c r="P34" s="1"/>
      <c r="Q34" s="1"/>
      <c r="R34" s="1"/>
    </row>
    <row r="35" spans="2:18" x14ac:dyDescent="0.2">
      <c r="B35" s="14">
        <v>-4826.7970720644598</v>
      </c>
      <c r="C35" s="11">
        <v>-4826.82153024328</v>
      </c>
      <c r="D35" s="12">
        <v>-4826.83293514038</v>
      </c>
      <c r="F35" s="138"/>
      <c r="G35" s="24"/>
      <c r="H35" s="24"/>
      <c r="I35" s="24"/>
      <c r="J35" s="24"/>
      <c r="K35" s="24"/>
      <c r="L35" s="24"/>
      <c r="M35" s="24"/>
      <c r="N35" s="24"/>
      <c r="O35" s="1"/>
      <c r="P35" s="1"/>
      <c r="Q35" s="1"/>
      <c r="R35" s="1"/>
    </row>
    <row r="36" spans="2:18" ht="17" thickBot="1" x14ac:dyDescent="0.25">
      <c r="B36" s="16">
        <v>-4826.7970718958704</v>
      </c>
      <c r="C36" s="17">
        <v>-4826.8210155182296</v>
      </c>
      <c r="D36" s="18">
        <v>-4826.8323530163298</v>
      </c>
      <c r="F36" s="138"/>
      <c r="G36" s="24"/>
      <c r="H36" s="24"/>
      <c r="I36" s="24"/>
      <c r="J36" s="24"/>
      <c r="K36" s="24"/>
      <c r="L36" s="24"/>
      <c r="M36" s="24"/>
      <c r="N36" s="24"/>
      <c r="O36" s="1"/>
      <c r="P36" s="1"/>
      <c r="Q36" s="1"/>
      <c r="R36" s="1"/>
    </row>
    <row r="37" spans="2:18" ht="17" thickBot="1" x14ac:dyDescent="0.25">
      <c r="B37" s="22"/>
      <c r="C37" s="22"/>
      <c r="D37" s="22"/>
      <c r="F37" s="138"/>
      <c r="G37" s="24"/>
      <c r="H37" s="24"/>
      <c r="I37" s="24"/>
      <c r="J37" s="24"/>
      <c r="K37" s="24"/>
      <c r="L37" s="24"/>
      <c r="M37" s="24"/>
      <c r="N37" s="24"/>
      <c r="O37" s="1"/>
      <c r="P37" s="1"/>
      <c r="Q37" s="1"/>
      <c r="R37" s="1"/>
    </row>
    <row r="38" spans="2:18" ht="17" thickBot="1" x14ac:dyDescent="0.25">
      <c r="B38" s="241" t="s">
        <v>56</v>
      </c>
      <c r="C38" s="242"/>
      <c r="D38" s="24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7" thickBot="1" x14ac:dyDescent="0.25">
      <c r="B39" s="3" t="s">
        <v>1</v>
      </c>
      <c r="C39" s="130" t="s">
        <v>2</v>
      </c>
      <c r="D39" s="131" t="s">
        <v>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">
      <c r="B40" s="90">
        <v>-4826.9376471962196</v>
      </c>
      <c r="C40" s="91">
        <v>-4826.9457030983804</v>
      </c>
      <c r="D40" s="92"/>
      <c r="F40" s="1"/>
      <c r="G40" s="22"/>
      <c r="H40" s="22"/>
      <c r="I40" s="22"/>
      <c r="J40" s="22"/>
      <c r="K40" s="22"/>
      <c r="L40" s="22"/>
      <c r="M40" s="22"/>
      <c r="N40" s="22"/>
      <c r="O40" s="1"/>
      <c r="P40" s="1"/>
      <c r="Q40" s="1"/>
      <c r="R40" s="1"/>
    </row>
    <row r="41" spans="2:18" x14ac:dyDescent="0.2">
      <c r="B41" s="27">
        <v>-4826.9376467567399</v>
      </c>
      <c r="C41" s="24">
        <v>-4826.9457028581201</v>
      </c>
      <c r="D41" s="28"/>
      <c r="F41" s="137"/>
      <c r="G41" s="24"/>
      <c r="H41" s="24"/>
      <c r="I41" s="24"/>
      <c r="J41" s="24"/>
      <c r="K41" s="24"/>
      <c r="L41" s="24"/>
      <c r="M41" s="24"/>
      <c r="N41" s="24"/>
      <c r="O41" s="1"/>
      <c r="P41" s="1"/>
      <c r="Q41" s="1"/>
      <c r="R41" s="1"/>
    </row>
    <row r="42" spans="2:18" x14ac:dyDescent="0.2">
      <c r="B42" s="27">
        <v>-4826.8761694780796</v>
      </c>
      <c r="C42" s="24">
        <v>-4826.91018280967</v>
      </c>
      <c r="D42" s="28"/>
      <c r="F42" s="137"/>
      <c r="G42" s="24"/>
      <c r="H42" s="24"/>
      <c r="I42" s="24"/>
      <c r="J42" s="24"/>
      <c r="K42" s="24"/>
      <c r="L42" s="24"/>
      <c r="M42" s="24"/>
      <c r="N42" s="24"/>
      <c r="O42" s="1"/>
      <c r="P42" s="1"/>
      <c r="Q42" s="1"/>
      <c r="R42" s="1"/>
    </row>
    <row r="43" spans="2:18" x14ac:dyDescent="0.2">
      <c r="B43" s="27">
        <v>-4826.8750179681501</v>
      </c>
      <c r="C43" s="24">
        <v>-4826.9095148573797</v>
      </c>
      <c r="D43" s="28"/>
      <c r="F43" s="138"/>
      <c r="G43" s="24"/>
      <c r="H43" s="24"/>
      <c r="I43" s="24"/>
      <c r="J43" s="24"/>
      <c r="K43" s="24"/>
      <c r="L43" s="24"/>
      <c r="M43" s="24"/>
      <c r="N43" s="24"/>
      <c r="O43" s="1"/>
      <c r="P43" s="1"/>
      <c r="Q43" s="1"/>
      <c r="R43" s="1"/>
    </row>
    <row r="44" spans="2:18" x14ac:dyDescent="0.2">
      <c r="B44" s="34">
        <v>-4826.8694742282496</v>
      </c>
      <c r="C44" s="36">
        <v>-4826.9048635146801</v>
      </c>
      <c r="D44" s="28"/>
      <c r="F44" s="138"/>
      <c r="G44" s="24"/>
      <c r="H44" s="24"/>
      <c r="I44" s="24"/>
      <c r="J44" s="24"/>
      <c r="K44" s="24"/>
      <c r="L44" s="24"/>
      <c r="M44" s="24"/>
      <c r="N44" s="24"/>
      <c r="O44" s="1"/>
      <c r="P44" s="1"/>
      <c r="Q44" s="1"/>
      <c r="R44" s="1"/>
    </row>
    <row r="45" spans="2:18" ht="17" thickBot="1" x14ac:dyDescent="0.25">
      <c r="B45" s="29">
        <v>-4826.8694741692198</v>
      </c>
      <c r="C45" s="25">
        <v>-4826.9048634419396</v>
      </c>
      <c r="D45" s="30"/>
      <c r="F45" s="138"/>
      <c r="G45" s="24"/>
      <c r="H45" s="24"/>
      <c r="I45" s="24"/>
      <c r="J45" s="24"/>
      <c r="K45" s="24"/>
      <c r="L45" s="24"/>
      <c r="M45" s="24"/>
      <c r="N45" s="24"/>
      <c r="O45" s="1"/>
      <c r="P45" s="1"/>
      <c r="Q45" s="1"/>
      <c r="R45" s="1"/>
    </row>
    <row r="46" spans="2:18" x14ac:dyDescent="0.2">
      <c r="B46" s="1"/>
      <c r="C46" s="6"/>
      <c r="D46" s="6"/>
      <c r="F46" s="138"/>
      <c r="G46" s="24"/>
      <c r="H46" s="24"/>
      <c r="I46" s="24"/>
      <c r="J46" s="24"/>
      <c r="K46" s="24"/>
      <c r="L46" s="24"/>
      <c r="M46" s="24"/>
      <c r="N46" s="24"/>
      <c r="O46" s="1"/>
      <c r="P46" s="1"/>
      <c r="Q46" s="1"/>
    </row>
    <row r="47" spans="2:18" x14ac:dyDescent="0.2">
      <c r="B47" s="1"/>
      <c r="C47" s="6"/>
      <c r="D47" s="6"/>
    </row>
    <row r="61" spans="2:9" x14ac:dyDescent="0.2">
      <c r="B61" s="89"/>
      <c r="C61" s="89"/>
      <c r="D61" s="89"/>
      <c r="E61" s="89"/>
      <c r="F61" s="89"/>
      <c r="G61" s="89"/>
      <c r="H61" s="89"/>
      <c r="I61" s="89"/>
    </row>
    <row r="62" spans="2:9" x14ac:dyDescent="0.2">
      <c r="B62" s="89"/>
      <c r="C62" s="89"/>
      <c r="D62" s="89"/>
      <c r="E62" s="89"/>
      <c r="F62" s="89"/>
      <c r="G62" s="89"/>
      <c r="H62" s="89"/>
      <c r="I62" s="89"/>
    </row>
    <row r="63" spans="2:9" x14ac:dyDescent="0.2">
      <c r="B63" s="89"/>
      <c r="C63" s="89"/>
      <c r="D63" s="89"/>
      <c r="E63" s="89"/>
      <c r="F63" s="89"/>
      <c r="G63" s="89"/>
      <c r="H63" s="89"/>
      <c r="I63" s="89"/>
    </row>
    <row r="64" spans="2:9" x14ac:dyDescent="0.2">
      <c r="B64" s="89"/>
      <c r="C64" s="89"/>
      <c r="D64" s="89"/>
      <c r="E64" s="89"/>
      <c r="F64" s="89"/>
      <c r="G64" s="89"/>
      <c r="H64" s="89"/>
      <c r="I64" s="89"/>
    </row>
    <row r="65" spans="2:9" x14ac:dyDescent="0.2">
      <c r="B65" s="89"/>
      <c r="C65" s="89"/>
      <c r="D65" s="89"/>
      <c r="E65" s="89"/>
      <c r="F65" s="89"/>
      <c r="G65" s="89"/>
      <c r="H65" s="89"/>
      <c r="I65" s="89"/>
    </row>
    <row r="66" spans="2:9" x14ac:dyDescent="0.2">
      <c r="B66" s="89"/>
      <c r="C66" s="89"/>
      <c r="D66" s="89"/>
      <c r="E66" s="89"/>
      <c r="F66" s="89"/>
      <c r="G66" s="89"/>
      <c r="H66" s="89"/>
      <c r="I66" s="89"/>
    </row>
  </sheetData>
  <mergeCells count="6">
    <mergeCell ref="F2:G2"/>
    <mergeCell ref="B38:D38"/>
    <mergeCell ref="B2:D2"/>
    <mergeCell ref="B11:D11"/>
    <mergeCell ref="B20:D20"/>
    <mergeCell ref="B29:D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AB70"/>
  <sheetViews>
    <sheetView zoomScale="90" workbookViewId="0">
      <selection activeCell="L20" sqref="L20"/>
    </sheetView>
  </sheetViews>
  <sheetFormatPr baseColWidth="10" defaultRowHeight="16" x14ac:dyDescent="0.2"/>
  <cols>
    <col min="1" max="1" width="3" customWidth="1"/>
    <col min="2" max="4" width="11.33203125" bestFit="1" customWidth="1"/>
    <col min="6" max="6" width="19.6640625" style="21" customWidth="1"/>
    <col min="7" max="7" width="11.5" customWidth="1"/>
    <col min="13" max="13" width="14.6640625" customWidth="1"/>
  </cols>
  <sheetData>
    <row r="1" spans="2:28" ht="17" thickBot="1" x14ac:dyDescent="0.25"/>
    <row r="2" spans="2:28" ht="17" thickBot="1" x14ac:dyDescent="0.25">
      <c r="B2" s="255" t="str">
        <f>'Raw Data'!B2</f>
        <v>CAS-nSF-IP</v>
      </c>
      <c r="C2" s="256"/>
      <c r="D2" s="257"/>
      <c r="F2" s="239" t="s">
        <v>15</v>
      </c>
      <c r="G2" s="244"/>
      <c r="H2" s="244"/>
      <c r="I2" s="244"/>
      <c r="J2" s="244"/>
      <c r="K2" s="240"/>
      <c r="M2" s="239" t="s">
        <v>23</v>
      </c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0"/>
    </row>
    <row r="3" spans="2:28" ht="17" thickBot="1" x14ac:dyDescent="0.25">
      <c r="B3" s="31" t="str">
        <f>'Raw Data'!B3</f>
        <v>S = 5/2</v>
      </c>
      <c r="C3" s="32" t="str">
        <f>'Raw Data'!C3</f>
        <v>S = 3/2</v>
      </c>
      <c r="D3" s="33" t="str">
        <f>'Raw Data'!D3</f>
        <v>S = 1/2</v>
      </c>
      <c r="F3" s="42"/>
      <c r="G3" s="43" t="s">
        <v>0</v>
      </c>
      <c r="H3" s="43" t="s">
        <v>57</v>
      </c>
      <c r="I3" s="43" t="s">
        <v>58</v>
      </c>
      <c r="J3" s="43" t="s">
        <v>59</v>
      </c>
      <c r="K3" s="44" t="s">
        <v>60</v>
      </c>
      <c r="M3" s="56"/>
      <c r="N3" s="241" t="s">
        <v>0</v>
      </c>
      <c r="O3" s="242"/>
      <c r="P3" s="242"/>
      <c r="Q3" s="241" t="s">
        <v>4</v>
      </c>
      <c r="R3" s="242"/>
      <c r="S3" s="242"/>
      <c r="T3" s="241" t="s">
        <v>7</v>
      </c>
      <c r="U3" s="242"/>
      <c r="V3" s="243"/>
      <c r="W3" s="241" t="s">
        <v>8</v>
      </c>
      <c r="X3" s="242"/>
      <c r="Y3" s="243"/>
      <c r="Z3" s="241" t="s">
        <v>9</v>
      </c>
      <c r="AA3" s="242"/>
      <c r="AB3" s="243"/>
    </row>
    <row r="4" spans="2:28" x14ac:dyDescent="0.2">
      <c r="B4" s="34">
        <f>'Raw Data'!B4</f>
        <v>-4826.7595812387999</v>
      </c>
      <c r="C4" s="36">
        <f>'Raw Data'!C4</f>
        <v>-4826.7673504816303</v>
      </c>
      <c r="D4" s="38">
        <f>'Raw Data'!D4</f>
        <v>-4826.7640584332703</v>
      </c>
      <c r="F4" s="23" t="s">
        <v>11</v>
      </c>
      <c r="G4" s="47">
        <f>ABS(AVERAGE(B4:B5)-AVERAGE(B8:B9))</f>
        <v>8.3065675224133884E-2</v>
      </c>
      <c r="H4" s="47">
        <f>ABS(AVERAGE(B13:B14)-AVERAGE(B16:B17))</f>
        <v>5.0638558344871853E-2</v>
      </c>
      <c r="I4" s="47">
        <f>ABS(AVERAGE(B22:B23)-AVERAGE(B26:B27))</f>
        <v>8.1724573356041219E-2</v>
      </c>
      <c r="J4" s="47">
        <f>ABS(AVERAGE(B31:B32)-AVERAGE(B35:B36))</f>
        <v>5.3127414594200673E-2</v>
      </c>
      <c r="K4" s="50">
        <f>ABS(AVERAGE(B40:B41)-AVERAGE(B44:B45))</f>
        <v>6.8172777744621271E-2</v>
      </c>
      <c r="M4" s="57"/>
      <c r="N4" s="58">
        <v>2.5</v>
      </c>
      <c r="O4" s="59">
        <v>1.5</v>
      </c>
      <c r="P4" s="59">
        <v>0.5</v>
      </c>
      <c r="Q4" s="58">
        <v>2.5</v>
      </c>
      <c r="R4" s="59">
        <v>1.5</v>
      </c>
      <c r="S4" s="59">
        <v>0.5</v>
      </c>
      <c r="T4" s="58">
        <v>2.5</v>
      </c>
      <c r="U4" s="59">
        <v>1.5</v>
      </c>
      <c r="V4" s="59">
        <v>0.5</v>
      </c>
      <c r="W4" s="58">
        <v>2.5</v>
      </c>
      <c r="X4" s="59">
        <v>1.5</v>
      </c>
      <c r="Y4" s="60">
        <v>0.5</v>
      </c>
      <c r="Z4" s="58">
        <v>2.5</v>
      </c>
      <c r="AA4" s="59">
        <v>1.5</v>
      </c>
      <c r="AB4" s="60">
        <v>0.5</v>
      </c>
    </row>
    <row r="5" spans="2:28" x14ac:dyDescent="0.2">
      <c r="B5" s="34">
        <f>'Raw Data'!B5</f>
        <v>-4826.7595795881498</v>
      </c>
      <c r="C5" s="36">
        <f>'Raw Data'!C5</f>
        <v>-4826.7673495830904</v>
      </c>
      <c r="D5" s="38">
        <f>'Raw Data'!D5</f>
        <v>-4826.7640576711501</v>
      </c>
      <c r="F5" s="40" t="s">
        <v>12</v>
      </c>
      <c r="G5" s="48">
        <f>G4/2</f>
        <v>4.1532837612066942E-2</v>
      </c>
      <c r="H5" s="48">
        <f t="shared" ref="H5:K5" si="0">H4/2</f>
        <v>2.5319279172435927E-2</v>
      </c>
      <c r="I5" s="48">
        <f t="shared" si="0"/>
        <v>4.086228667802061E-2</v>
      </c>
      <c r="J5" s="48">
        <f t="shared" si="0"/>
        <v>2.6563707297100336E-2</v>
      </c>
      <c r="K5" s="51">
        <f t="shared" si="0"/>
        <v>3.4086388872310636E-2</v>
      </c>
      <c r="M5" s="61" t="s">
        <v>12</v>
      </c>
      <c r="N5" s="62">
        <f>$G$5</f>
        <v>4.1532837612066942E-2</v>
      </c>
      <c r="O5" s="63">
        <f>N5</f>
        <v>4.1532837612066942E-2</v>
      </c>
      <c r="P5" s="63">
        <f t="shared" ref="P5:P6" si="1">O5</f>
        <v>4.1532837612066942E-2</v>
      </c>
      <c r="Q5" s="62">
        <f>$H$5</f>
        <v>2.5319279172435927E-2</v>
      </c>
      <c r="R5" s="63">
        <f>Q5</f>
        <v>2.5319279172435927E-2</v>
      </c>
      <c r="S5" s="63">
        <f t="shared" ref="S5:S6" si="2">R5</f>
        <v>2.5319279172435927E-2</v>
      </c>
      <c r="T5" s="65">
        <f>$I$5</f>
        <v>4.086228667802061E-2</v>
      </c>
      <c r="U5" s="63">
        <f>T5</f>
        <v>4.086228667802061E-2</v>
      </c>
      <c r="V5" s="64">
        <f t="shared" ref="V5:V6" si="3">U5</f>
        <v>4.086228667802061E-2</v>
      </c>
      <c r="W5" s="65">
        <f>$J$5</f>
        <v>2.6563707297100336E-2</v>
      </c>
      <c r="X5" s="63">
        <f>W5</f>
        <v>2.6563707297100336E-2</v>
      </c>
      <c r="Y5" s="64">
        <f t="shared" ref="Y5:Y6" si="4">X5</f>
        <v>2.6563707297100336E-2</v>
      </c>
      <c r="Z5" s="65">
        <f>$K$5</f>
        <v>3.4086388872310636E-2</v>
      </c>
      <c r="AA5" s="63">
        <f>Z5</f>
        <v>3.4086388872310636E-2</v>
      </c>
      <c r="AB5" s="64">
        <f t="shared" ref="AB5:AB6" si="5">AA5</f>
        <v>3.4086388872310636E-2</v>
      </c>
    </row>
    <row r="6" spans="2:28" x14ac:dyDescent="0.2">
      <c r="B6" s="27">
        <f>'Raw Data'!B6</f>
        <v>-4826.6851895749196</v>
      </c>
      <c r="C6" s="24">
        <f>'Raw Data'!C6</f>
        <v>-4826.7291385549597</v>
      </c>
      <c r="D6" s="38">
        <f>'Raw Data'!D6</f>
        <v>-4826.7445058377598</v>
      </c>
      <c r="F6" s="23" t="s">
        <v>13</v>
      </c>
      <c r="G6" s="47">
        <f>AVERAGE(B4:B5)-AVERAGE(C4:C5)</f>
        <v>7.7696188855043147E-3</v>
      </c>
      <c r="H6" s="47">
        <f>AVERAGE(B13:B14)-AVERAGE(C13:C14)</f>
        <v>4.2348185152150108E-3</v>
      </c>
      <c r="I6" s="47">
        <f>AVERAGE(B22:B23)-AVERAGE(C22:C23)</f>
        <v>8.1415168351668399E-3</v>
      </c>
      <c r="J6" s="47">
        <f>AVERAGE(B31:B32)-AVERAGE(C31:C32)</f>
        <v>4.7009777308630873E-3</v>
      </c>
      <c r="K6" s="50">
        <f>AVERAGE(B40:B41)-AVERAGE(C40:C41)</f>
        <v>8.056001770455623E-3</v>
      </c>
      <c r="M6" s="67" t="s">
        <v>14</v>
      </c>
      <c r="N6" s="62">
        <f>$G$7</f>
        <v>-8.6455592358106511E-3</v>
      </c>
      <c r="O6" s="63">
        <f>N6</f>
        <v>-8.6455592358106511E-3</v>
      </c>
      <c r="P6" s="63">
        <f t="shared" si="1"/>
        <v>-8.6455592358106511E-3</v>
      </c>
      <c r="Q6" s="62">
        <f>$H$7</f>
        <v>-5.0698312957441283E-3</v>
      </c>
      <c r="R6" s="63">
        <f>Q6</f>
        <v>-5.0698312957441283E-3</v>
      </c>
      <c r="S6" s="63">
        <f t="shared" si="2"/>
        <v>-5.0698312957441283E-3</v>
      </c>
      <c r="T6" s="62">
        <f>$I$7</f>
        <v>-8.7049116244694823E-3</v>
      </c>
      <c r="U6" s="63">
        <f>T6</f>
        <v>-8.7049116244694823E-3</v>
      </c>
      <c r="V6" s="64">
        <f t="shared" si="3"/>
        <v>-8.7049116244694823E-3</v>
      </c>
      <c r="W6" s="62">
        <f>$J$7</f>
        <v>-5.422218731958613E-3</v>
      </c>
      <c r="X6" s="63">
        <f>W6</f>
        <v>-5.422218731958613E-3</v>
      </c>
      <c r="Y6" s="64">
        <f t="shared" si="4"/>
        <v>-5.422218731958613E-3</v>
      </c>
      <c r="Z6" s="62">
        <f>$K$7</f>
        <v>-7.7672525578236671E-3</v>
      </c>
      <c r="AA6" s="63">
        <f>Z6</f>
        <v>-7.7672525578236671E-3</v>
      </c>
      <c r="AB6" s="64">
        <f t="shared" si="5"/>
        <v>-7.7672525578236671E-3</v>
      </c>
    </row>
    <row r="7" spans="2:28" ht="17" thickBot="1" x14ac:dyDescent="0.25">
      <c r="B7" s="27">
        <f>'Raw Data'!B7</f>
        <v>-4826.6842646045598</v>
      </c>
      <c r="C7" s="24">
        <f>'Raw Data'!C7</f>
        <v>-4826.7286142901203</v>
      </c>
      <c r="D7" s="38">
        <f>'Raw Data'!D7</f>
        <v>-4826.7445052605499</v>
      </c>
      <c r="F7" s="41" t="s">
        <v>14</v>
      </c>
      <c r="G7" s="49">
        <f>-2*(G6+G5/3)/5</f>
        <v>-8.6455592358106511E-3</v>
      </c>
      <c r="H7" s="49">
        <f t="shared" ref="H7:K7" si="6">-2*(H6+H5/3)/5</f>
        <v>-5.0698312957441283E-3</v>
      </c>
      <c r="I7" s="49">
        <f t="shared" si="6"/>
        <v>-8.7049116244694823E-3</v>
      </c>
      <c r="J7" s="49">
        <f t="shared" si="6"/>
        <v>-5.422218731958613E-3</v>
      </c>
      <c r="K7" s="55">
        <f t="shared" si="6"/>
        <v>-7.7672525578236671E-3</v>
      </c>
      <c r="M7" s="67" t="s">
        <v>24</v>
      </c>
      <c r="N7" s="68">
        <f>-N5*((N4+0.5)/($N$4+0.5))-(N6/2)*(N4*(N4+1)-$N$4*($N$4+1))</f>
        <v>-4.1532837612066942E-2</v>
      </c>
      <c r="O7" s="69">
        <f t="shared" ref="O7:P7" si="7">-O5*((O4+0.5)/($N$4+0.5))-(O6/2)*(O4*(O4+1)-$N$4*($N$4+1))</f>
        <v>-4.9302456497571256E-2</v>
      </c>
      <c r="P7" s="69">
        <f t="shared" si="7"/>
        <v>-4.8426516147264918E-2</v>
      </c>
      <c r="Q7" s="68">
        <f t="shared" ref="Q7:S7" si="8">-Q5*((Q4+0.5)/($N$4+0.5))-(Q6/2)*(Q4*(Q4+1)-$N$4*($N$4+1))</f>
        <v>-2.5319279172435927E-2</v>
      </c>
      <c r="R7" s="69">
        <f t="shared" si="8"/>
        <v>-2.9554097687650938E-2</v>
      </c>
      <c r="S7" s="69">
        <f t="shared" si="8"/>
        <v>-2.8719084907121821E-2</v>
      </c>
      <c r="T7" s="68">
        <f t="shared" ref="T7:W7" si="9">-T5*((T4+0.5)/($N$4+0.5))-(T6/2)*(T4*(T4+1)-$N$4*($N$4+1))</f>
        <v>-4.086228667802061E-2</v>
      </c>
      <c r="U7" s="69">
        <f t="shared" si="9"/>
        <v>-4.9003803513187449E-2</v>
      </c>
      <c r="V7" s="70">
        <f t="shared" si="9"/>
        <v>-4.8440408723884797E-2</v>
      </c>
      <c r="W7" s="68">
        <f t="shared" si="9"/>
        <v>-2.6563707297100336E-2</v>
      </c>
      <c r="X7" s="69">
        <f>-X5*((X4+0.5)/($N$4+0.5))-(X6/2)*(X4*(X4+1)-$N$4*($N$4+1))</f>
        <v>-3.1264685027963424E-2</v>
      </c>
      <c r="Y7" s="70">
        <f t="shared" ref="Y7:Z7" si="10">-Y5*((Y4+0.5)/($N$4+0.5))-(Y6/2)*(Y4*(Y4+1)-$N$4*($N$4+1))</f>
        <v>-3.0543444026867896E-2</v>
      </c>
      <c r="Z7" s="68">
        <f t="shared" si="10"/>
        <v>-3.4086388872310636E-2</v>
      </c>
      <c r="AA7" s="69">
        <f>-AA5*((AA4+0.5)/($N$4+0.5))-(AA6/2)*(AA4*(AA4+1)-$N$4*($N$4+1))</f>
        <v>-4.2142390642766259E-2</v>
      </c>
      <c r="AB7" s="70">
        <f t="shared" ref="AB7" si="11">-AB5*((AB4+0.5)/($N$4+0.5))-(AB6/2)*(AB4*(AB4+1)-$N$4*($N$4+1))</f>
        <v>-4.2431139855398217E-2</v>
      </c>
    </row>
    <row r="8" spans="2:28" ht="17" thickBot="1" x14ac:dyDescent="0.25">
      <c r="B8" s="34">
        <f>'Raw Data'!B8</f>
        <v>-4826.6765149905495</v>
      </c>
      <c r="C8" s="36">
        <f>'Raw Data'!C8</f>
        <v>-4826.7222333043901</v>
      </c>
      <c r="D8" s="28">
        <f>'Raw Data'!D8</f>
        <v>-4826.7396022893899</v>
      </c>
      <c r="M8" s="71" t="s">
        <v>25</v>
      </c>
      <c r="N8" s="72">
        <f>N5*((N4+0.5)/($N$4+0.5))-(N6/2)*(N4*(N4+1)-$N$4*($N$4+1))</f>
        <v>4.1532837612066942E-2</v>
      </c>
      <c r="O8" s="73">
        <f t="shared" ref="O8:P8" si="12">O5*((O4+0.5)/($N$4+0.5))-(O6/2)*(O4*(O4+1)-$N$4*($N$4+1))</f>
        <v>6.0746603185179993E-3</v>
      </c>
      <c r="P8" s="73">
        <f t="shared" si="12"/>
        <v>-2.073795773922029E-2</v>
      </c>
      <c r="Q8" s="72">
        <f t="shared" ref="Q8:Y8" si="13">Q5*((Q4+0.5)/($N$4+0.5))-(Q6/2)*(Q4*(Q4+1)-$N$4*($N$4+1))</f>
        <v>2.5319279172435927E-2</v>
      </c>
      <c r="R8" s="73">
        <f t="shared" si="13"/>
        <v>4.2049412089302952E-3</v>
      </c>
      <c r="S8" s="73">
        <f t="shared" si="13"/>
        <v>-1.1839565458831205E-2</v>
      </c>
      <c r="T8" s="72">
        <f t="shared" si="13"/>
        <v>4.086228667802061E-2</v>
      </c>
      <c r="U8" s="73">
        <f t="shared" si="13"/>
        <v>5.4792453908400311E-3</v>
      </c>
      <c r="V8" s="74">
        <f t="shared" si="13"/>
        <v>-2.1198884271871062E-2</v>
      </c>
      <c r="W8" s="72">
        <f>W5*((W4+0.5)/($N$4+0.5))-(W6/2)*(W4*(W4+1)-$N$4*($N$4+1))</f>
        <v>2.6563707297100336E-2</v>
      </c>
      <c r="X8" s="73">
        <f t="shared" si="13"/>
        <v>4.1535913681703569E-3</v>
      </c>
      <c r="Y8" s="74">
        <f t="shared" si="13"/>
        <v>-1.2834305828801008E-2</v>
      </c>
      <c r="Z8" s="72">
        <f>Z5*((Z4+0.5)/($N$4+0.5))-(Z6/2)*(Z4*(Z4+1)-$N$4*($N$4+1))</f>
        <v>3.4086388872310636E-2</v>
      </c>
      <c r="AA8" s="73">
        <f t="shared" ref="AA8:AB8" si="14">AA5*((AA4+0.5)/($N$4+0.5))-(AA6/2)*(AA4*(AA4+1)-$N$4*($N$4+1))</f>
        <v>3.3061278536479222E-3</v>
      </c>
      <c r="AB8" s="74">
        <f t="shared" si="14"/>
        <v>-1.9706880607191123E-2</v>
      </c>
    </row>
    <row r="9" spans="2:28" ht="17" thickBot="1" x14ac:dyDescent="0.25">
      <c r="B9" s="35">
        <f>'Raw Data'!B9</f>
        <v>-4826.6765144859501</v>
      </c>
      <c r="C9" s="37">
        <f>'Raw Data'!C9</f>
        <v>-4826.7222327664504</v>
      </c>
      <c r="D9" s="30">
        <f>'Raw Data'!D9</f>
        <v>-4826.7391463002896</v>
      </c>
      <c r="F9" s="239" t="s">
        <v>16</v>
      </c>
      <c r="G9" s="244"/>
      <c r="H9" s="244"/>
      <c r="I9" s="244"/>
      <c r="J9" s="244"/>
      <c r="K9" s="240"/>
      <c r="L9" s="46"/>
      <c r="M9" s="77" t="s">
        <v>12</v>
      </c>
      <c r="N9" s="65">
        <f>G12</f>
        <v>4.1532837612066942E-2</v>
      </c>
      <c r="O9" s="66">
        <f>N9</f>
        <v>4.1532837612066942E-2</v>
      </c>
      <c r="P9" s="66">
        <f t="shared" ref="P9:P11" si="15">O9</f>
        <v>4.1532837612066942E-2</v>
      </c>
      <c r="Q9" s="65">
        <f>H12</f>
        <v>2.5319279172435927E-2</v>
      </c>
      <c r="R9" s="66">
        <f>Q9</f>
        <v>2.5319279172435927E-2</v>
      </c>
      <c r="S9" s="66">
        <f t="shared" ref="S9:S11" si="16">R9</f>
        <v>2.5319279172435927E-2</v>
      </c>
      <c r="T9" s="65">
        <f>$I$12</f>
        <v>4.086228667802061E-2</v>
      </c>
      <c r="U9" s="66">
        <f>T9</f>
        <v>4.086228667802061E-2</v>
      </c>
      <c r="V9" s="78">
        <f t="shared" ref="V9:V11" si="17">U9</f>
        <v>4.086228667802061E-2</v>
      </c>
      <c r="W9" s="65">
        <f>$J$12</f>
        <v>2.6563707297100336E-2</v>
      </c>
      <c r="X9" s="66">
        <f>W9</f>
        <v>2.6563707297100336E-2</v>
      </c>
      <c r="Y9" s="78">
        <f t="shared" ref="Y9:Y11" si="18">X9</f>
        <v>2.6563707297100336E-2</v>
      </c>
      <c r="Z9" s="65">
        <f>$K$12</f>
        <v>3.4086388872310636E-2</v>
      </c>
      <c r="AA9" s="66">
        <f>Z9</f>
        <v>3.4086388872310636E-2</v>
      </c>
      <c r="AB9" s="78">
        <f t="shared" ref="AB9:AB11" si="19">AA9</f>
        <v>3.4086388872310636E-2</v>
      </c>
    </row>
    <row r="10" spans="2:28" ht="17" thickBot="1" x14ac:dyDescent="0.25">
      <c r="B10" s="20"/>
      <c r="C10" s="20"/>
      <c r="D10" s="20"/>
      <c r="F10" s="42"/>
      <c r="G10" s="43" t="s">
        <v>0</v>
      </c>
      <c r="H10" s="43" t="s">
        <v>57</v>
      </c>
      <c r="I10" s="43" t="s">
        <v>58</v>
      </c>
      <c r="J10" s="43" t="s">
        <v>59</v>
      </c>
      <c r="K10" s="44" t="s">
        <v>60</v>
      </c>
      <c r="L10" s="19"/>
      <c r="M10" s="75" t="s">
        <v>14</v>
      </c>
      <c r="N10" s="62">
        <f>G18</f>
        <v>-6.2406267198498845E-3</v>
      </c>
      <c r="O10" s="63">
        <f>N10</f>
        <v>-6.2406267198498845E-3</v>
      </c>
      <c r="P10" s="63">
        <f t="shared" si="15"/>
        <v>-6.2406267198498845E-3</v>
      </c>
      <c r="Q10" s="62">
        <f>H18</f>
        <v>-4.0325297838317963E-3</v>
      </c>
      <c r="R10" s="63">
        <f>Q10</f>
        <v>-4.0325297838317963E-3</v>
      </c>
      <c r="S10" s="63">
        <f t="shared" si="16"/>
        <v>-4.0325297838317963E-3</v>
      </c>
      <c r="T10" s="62">
        <f>I18</f>
        <v>-6.3159040463838618E-3</v>
      </c>
      <c r="U10" s="63">
        <f>T10</f>
        <v>-6.3159040463838618E-3</v>
      </c>
      <c r="V10" s="64">
        <f t="shared" si="17"/>
        <v>-6.3159040463838618E-3</v>
      </c>
      <c r="W10" s="62">
        <f>J18</f>
        <v>-4.2512366604807025E-3</v>
      </c>
      <c r="X10" s="63">
        <f>W10</f>
        <v>-4.2512366604807025E-3</v>
      </c>
      <c r="Y10" s="64">
        <f t="shared" si="18"/>
        <v>-4.2512366604807025E-3</v>
      </c>
      <c r="Z10" s="62">
        <f>$K$18</f>
        <v>-6.1659178679381761E-3</v>
      </c>
      <c r="AA10" s="63">
        <f>Z10</f>
        <v>-6.1659178679381761E-3</v>
      </c>
      <c r="AB10" s="64">
        <f t="shared" si="19"/>
        <v>-6.1659178679381761E-3</v>
      </c>
    </row>
    <row r="11" spans="2:28" ht="17" thickBot="1" x14ac:dyDescent="0.25">
      <c r="B11" s="255" t="str">
        <f>'Raw Data'!B11</f>
        <v>RAS(h)-nSF-IP</v>
      </c>
      <c r="C11" s="256"/>
      <c r="D11" s="257"/>
      <c r="F11" s="23" t="s">
        <v>11</v>
      </c>
      <c r="G11" s="47">
        <f>ABS(AVERAGE(B4:B5)-AVERAGE(B8:B9))</f>
        <v>8.3065675224133884E-2</v>
      </c>
      <c r="H11" s="47">
        <f>ABS(AVERAGE(B13:B14)-AVERAGE(B16:B17))</f>
        <v>5.0638558344871853E-2</v>
      </c>
      <c r="I11" s="47">
        <f>ABS(AVERAGE(B22:B23)-AVERAGE(B26:B27))</f>
        <v>8.1724573356041219E-2</v>
      </c>
      <c r="J11" s="47">
        <f>ABS(AVERAGE(B31:B32)-AVERAGE(B35:B36))</f>
        <v>5.3127414594200673E-2</v>
      </c>
      <c r="K11" s="50">
        <f>ABS(AVERAGE(B40:B41)-AVERAGE(B44:B45))</f>
        <v>6.8172777744621271E-2</v>
      </c>
      <c r="L11" s="39"/>
      <c r="M11" s="67" t="s">
        <v>20</v>
      </c>
      <c r="N11" s="62">
        <f>G19</f>
        <v>9.7996858464374059E-2</v>
      </c>
      <c r="O11" s="63">
        <f>N11</f>
        <v>9.7996858464374059E-2</v>
      </c>
      <c r="P11" s="63">
        <f t="shared" si="15"/>
        <v>9.7996858464374059E-2</v>
      </c>
      <c r="Q11" s="62">
        <f>H19</f>
        <v>0.10097299409579245</v>
      </c>
      <c r="R11" s="63">
        <f>Q11</f>
        <v>0.10097299409579245</v>
      </c>
      <c r="S11" s="63">
        <f t="shared" si="16"/>
        <v>0.10097299409579245</v>
      </c>
      <c r="T11" s="62">
        <f>I19</f>
        <v>9.4864666252830465E-2</v>
      </c>
      <c r="U11" s="63">
        <f>T11</f>
        <v>9.4864666252830465E-2</v>
      </c>
      <c r="V11" s="64">
        <f t="shared" si="17"/>
        <v>9.4864666252830465E-2</v>
      </c>
      <c r="W11" s="62">
        <f>J19</f>
        <v>9.5564758918131418E-2</v>
      </c>
      <c r="X11" s="63">
        <f>W11</f>
        <v>9.5564758918131418E-2</v>
      </c>
      <c r="Y11" s="64">
        <f t="shared" si="18"/>
        <v>9.5564758918131418E-2</v>
      </c>
      <c r="Z11" s="62">
        <f>$K$19</f>
        <v>0.11178545624878958</v>
      </c>
      <c r="AA11" s="63">
        <f>Z11</f>
        <v>0.11178545624878958</v>
      </c>
      <c r="AB11" s="64">
        <f t="shared" si="19"/>
        <v>0.11178545624878958</v>
      </c>
    </row>
    <row r="12" spans="2:28" ht="17" thickBot="1" x14ac:dyDescent="0.25">
      <c r="B12" s="31" t="str">
        <f>'Raw Data'!B12</f>
        <v>S = 5/2</v>
      </c>
      <c r="C12" s="32" t="str">
        <f>'Raw Data'!C12</f>
        <v>S = 3/2</v>
      </c>
      <c r="D12" s="33" t="str">
        <f>'Raw Data'!D12</f>
        <v>S = 1/2</v>
      </c>
      <c r="F12" s="40" t="s">
        <v>12</v>
      </c>
      <c r="G12" s="48">
        <f>G11/2</f>
        <v>4.1532837612066942E-2</v>
      </c>
      <c r="H12" s="48">
        <f t="shared" ref="H12" si="20">H11/2</f>
        <v>2.5319279172435927E-2</v>
      </c>
      <c r="I12" s="48">
        <f t="shared" ref="I12" si="21">I11/2</f>
        <v>4.086228667802061E-2</v>
      </c>
      <c r="J12" s="48">
        <f t="shared" ref="J12:K12" si="22">J11/2</f>
        <v>2.6563707297100336E-2</v>
      </c>
      <c r="K12" s="51">
        <f t="shared" si="22"/>
        <v>3.4086388872310636E-2</v>
      </c>
      <c r="M12" s="75" t="s">
        <v>26</v>
      </c>
      <c r="N12" s="68">
        <f t="shared" ref="N12:AB12" si="23">0.5*(N11-SQRT(N11*N11+4*N9*(N9+((N4+0.5)/($N$4+0.5))*N11)))-0.5*N10*(N4*(N4+1)-$N$4*($N$4+1))</f>
        <v>-4.1532837612066942E-2</v>
      </c>
      <c r="O12" s="69">
        <f t="shared" si="23"/>
        <v>-4.9302680533089352E-2</v>
      </c>
      <c r="P12" s="69">
        <f t="shared" si="23"/>
        <v>-5.0008108716771485E-2</v>
      </c>
      <c r="Q12" s="68">
        <f t="shared" si="23"/>
        <v>-2.531927917243592E-2</v>
      </c>
      <c r="R12" s="69">
        <f t="shared" si="23"/>
        <v>-2.9554300677074884E-2</v>
      </c>
      <c r="S12" s="69">
        <f t="shared" si="23"/>
        <v>-2.9221449124653714E-2</v>
      </c>
      <c r="T12" s="68">
        <f t="shared" si="23"/>
        <v>-4.086228667802061E-2</v>
      </c>
      <c r="U12" s="69">
        <f t="shared" si="23"/>
        <v>-4.9003634735045834E-2</v>
      </c>
      <c r="V12" s="70">
        <f t="shared" si="23"/>
        <v>-5.0023261568171135E-2</v>
      </c>
      <c r="W12" s="68">
        <f t="shared" si="23"/>
        <v>-2.6563707297100343E-2</v>
      </c>
      <c r="X12" s="69">
        <f t="shared" si="23"/>
        <v>-3.1264685106688783E-2</v>
      </c>
      <c r="Y12" s="70">
        <f t="shared" si="23"/>
        <v>-3.114971061293333E-2</v>
      </c>
      <c r="Z12" s="68">
        <f t="shared" si="23"/>
        <v>-3.4086388872310636E-2</v>
      </c>
      <c r="AA12" s="69">
        <f t="shared" si="23"/>
        <v>-4.2142406967882337E-2</v>
      </c>
      <c r="AB12" s="70">
        <f t="shared" si="23"/>
        <v>-4.3309522670619757E-2</v>
      </c>
    </row>
    <row r="13" spans="2:28" x14ac:dyDescent="0.2">
      <c r="B13" s="34">
        <f>'Raw Data'!B13</f>
        <v>-4826.8432899081099</v>
      </c>
      <c r="C13" s="36">
        <f>'Raw Data'!C13</f>
        <v>-4826.8475246118196</v>
      </c>
      <c r="D13" s="38">
        <f>'Raw Data'!D13</f>
        <v>-4826.8452491028502</v>
      </c>
      <c r="F13" s="23" t="s">
        <v>18</v>
      </c>
      <c r="G13" s="47">
        <f>-G12-(((G19-SQRT(G19*G19+4*G12*(G12-(2*G19/3))))/2)+(5/2)*G18)</f>
        <v>-3.7347378030998184E-2</v>
      </c>
      <c r="H13" s="47">
        <f t="shared" ref="H13:K13" si="24">-H12-(((H19-SQRT(H19*H19+4*H12*(H12-(2*H19/3))))/2)+(5/2)*H18)</f>
        <v>-2.7181272540728278E-2</v>
      </c>
      <c r="I13" s="47">
        <f t="shared" si="24"/>
        <v>-3.5963177009467481E-2</v>
      </c>
      <c r="J13" s="47">
        <f t="shared" si="24"/>
        <v>-2.7712206548260912E-2</v>
      </c>
      <c r="K13" s="50">
        <f t="shared" si="24"/>
        <v>-3.2783498070207404E-2</v>
      </c>
      <c r="M13" s="76" t="s">
        <v>27</v>
      </c>
      <c r="N13" s="72">
        <f>N9</f>
        <v>4.1532837612066942E-2</v>
      </c>
      <c r="O13" s="73">
        <f t="shared" ref="O13:AB13" si="25">0.5*(O11-SQRT(O11*O11+4*O9*(O9-((O4+0.5)/($N$4+0.5))*O11)))-0.5*O10*(O4*(O4+1)-$N$4*($N$4+1))</f>
        <v>-4.1854595810687581E-3</v>
      </c>
      <c r="P13" s="73">
        <f t="shared" si="25"/>
        <v>-2.8586570914199683E-2</v>
      </c>
      <c r="Q13" s="72">
        <f t="shared" si="25"/>
        <v>2.531927917243593E-2</v>
      </c>
      <c r="R13" s="73">
        <f t="shared" si="25"/>
        <v>1.8619933682923508E-3</v>
      </c>
      <c r="S13" s="73">
        <f t="shared" si="25"/>
        <v>-1.3994056141149139E-2</v>
      </c>
      <c r="T13" s="72">
        <f t="shared" si="25"/>
        <v>4.0862286678020616E-2</v>
      </c>
      <c r="U13" s="73">
        <f t="shared" si="25"/>
        <v>-4.8991096685531317E-3</v>
      </c>
      <c r="V13" s="74">
        <f t="shared" si="25"/>
        <v>-2.908968369445673E-2</v>
      </c>
      <c r="W13" s="72">
        <f t="shared" si="25"/>
        <v>2.6563707297100336E-2</v>
      </c>
      <c r="X13" s="73">
        <f t="shared" si="25"/>
        <v>1.1484992511605775E-3</v>
      </c>
      <c r="Y13" s="74">
        <f t="shared" si="25"/>
        <v>-1.5510811596132257E-2</v>
      </c>
      <c r="Z13" s="72">
        <f t="shared" si="25"/>
        <v>3.4086388872310636E-2</v>
      </c>
      <c r="AA13" s="73">
        <f t="shared" si="25"/>
        <v>-1.3028908021032338E-3</v>
      </c>
      <c r="AB13" s="74">
        <f t="shared" si="25"/>
        <v>-2.3686861982609671E-2</v>
      </c>
    </row>
    <row r="14" spans="2:28" ht="17" thickBot="1" x14ac:dyDescent="0.25">
      <c r="B14" s="34">
        <f>'Raw Data'!B14</f>
        <v>-4826.8432892309102</v>
      </c>
      <c r="C14" s="36">
        <f>'Raw Data'!C14</f>
        <v>-4826.84752416423</v>
      </c>
      <c r="D14" s="38">
        <f>'Raw Data'!D14</f>
        <v>-4826.8452487200502</v>
      </c>
      <c r="F14" s="23" t="s">
        <v>17</v>
      </c>
      <c r="G14" s="47">
        <f>-G12-(((G19-SQRT(G19*G19+4*G12*(G12+(2*G19/3))))/2)+(5/2)*G18)</f>
        <v>7.7698429210224101E-3</v>
      </c>
      <c r="H14" s="47">
        <f t="shared" ref="H14:K14" si="26">-H12-(((H19-SQRT(H19*H19+4*H12*(H12+(2*H19/3))))/2)+(5/2)*H18)</f>
        <v>4.2350215046389576E-3</v>
      </c>
      <c r="I14" s="47">
        <f t="shared" si="26"/>
        <v>8.1413480570252245E-3</v>
      </c>
      <c r="J14" s="47">
        <f t="shared" si="26"/>
        <v>4.7009778095884469E-3</v>
      </c>
      <c r="K14" s="50">
        <f t="shared" si="26"/>
        <v>8.0560180955717015E-3</v>
      </c>
    </row>
    <row r="15" spans="2:28" ht="17" thickBot="1" x14ac:dyDescent="0.25">
      <c r="B15" s="27">
        <f>'Raw Data'!B15</f>
        <v>-4826.7939218350302</v>
      </c>
      <c r="C15" s="36">
        <f>'Raw Data'!C15</f>
        <v>-4826.8161091517904</v>
      </c>
      <c r="D15" s="38">
        <f>'Raw Data'!D15</f>
        <v>-4826.8308951142199</v>
      </c>
      <c r="F15" s="23" t="s">
        <v>22</v>
      </c>
      <c r="G15" s="47">
        <f>AVERAGE(B4:B5)-AVERAGE(C8:C9)</f>
        <v>-3.7347378054619185E-2</v>
      </c>
      <c r="H15" s="47">
        <f>AVERAGE(B13:B14)-AVERAGE(C15:C16)</f>
        <v>-2.7180538903849083E-2</v>
      </c>
      <c r="I15" s="47">
        <f>AVERAGE(B22:B23)-AVERAGE(C26:C27)</f>
        <v>-3.5963205589723657E-2</v>
      </c>
      <c r="J15" s="47">
        <f>AVERAGE(B31:B32)-AVERAGE(C33:C34)</f>
        <v>-2.771222292449238E-2</v>
      </c>
      <c r="K15" s="50">
        <f>AVERAGE(B40:B41)-AVERAGE(C44:C45)</f>
        <v>-3.2783498169010272E-2</v>
      </c>
      <c r="M15" s="239" t="s">
        <v>32</v>
      </c>
      <c r="N15" s="244"/>
      <c r="O15" s="244"/>
      <c r="P15" s="244"/>
      <c r="Q15" s="244"/>
      <c r="R15" s="244"/>
      <c r="S15" s="244"/>
      <c r="T15" s="244"/>
      <c r="U15" s="240"/>
      <c r="V15" s="46"/>
      <c r="W15" s="1"/>
      <c r="X15" s="1"/>
      <c r="Y15" s="1"/>
      <c r="Z15" s="1"/>
      <c r="AA15" s="69"/>
    </row>
    <row r="16" spans="2:28" ht="17" thickBot="1" x14ac:dyDescent="0.25">
      <c r="B16" s="34">
        <f>'Raw Data'!B16</f>
        <v>-4826.7926510949101</v>
      </c>
      <c r="C16" s="36">
        <f>'Raw Data'!C16</f>
        <v>-4826.8161089094201</v>
      </c>
      <c r="D16" s="38">
        <f>'Raw Data'!D16</f>
        <v>-4826.8308948230897</v>
      </c>
      <c r="F16" s="23" t="s">
        <v>21</v>
      </c>
      <c r="G16" s="47">
        <f>AVERAGE(B4:B5)-AVERAGE(C4:C5)</f>
        <v>7.7696188855043147E-3</v>
      </c>
      <c r="H16" s="47">
        <f>AVERAGE(B13:B14)-AVERAGE(C13:C14)</f>
        <v>4.2348185152150108E-3</v>
      </c>
      <c r="I16" s="47">
        <f>AVERAGE(B22:B23)-AVERAGE(C22:C23)</f>
        <v>8.1415168351668399E-3</v>
      </c>
      <c r="J16" s="47">
        <f>AVERAGE(B31:B32)-AVERAGE(C31:C32)</f>
        <v>4.7009777308630873E-3</v>
      </c>
      <c r="K16" s="50">
        <f>AVERAGE(B40:B41)-AVERAGE(C40:C41)</f>
        <v>8.056001770455623E-3</v>
      </c>
      <c r="M16" s="80"/>
      <c r="N16" s="253" t="s">
        <v>0</v>
      </c>
      <c r="O16" s="253"/>
      <c r="P16" s="253"/>
      <c r="Q16" s="253"/>
      <c r="R16" s="253"/>
      <c r="S16" s="253"/>
      <c r="T16" s="253"/>
      <c r="U16" s="254"/>
      <c r="W16" s="1"/>
      <c r="X16" s="1"/>
      <c r="Y16" s="1"/>
      <c r="Z16" s="1"/>
      <c r="AA16" s="69"/>
    </row>
    <row r="17" spans="2:27" x14ac:dyDescent="0.2">
      <c r="B17" s="34">
        <f>'Raw Data'!B17</f>
        <v>-4826.7926509274203</v>
      </c>
      <c r="C17" s="24">
        <f>'Raw Data'!C17</f>
        <v>-4826.8160718271602</v>
      </c>
      <c r="D17" s="28">
        <f>'Raw Data'!D17</f>
        <v>-4826.8256327134304</v>
      </c>
      <c r="F17" s="23" t="s">
        <v>19</v>
      </c>
      <c r="G17" s="53">
        <f>ABS(G15-G13)+ABS(G16-G14)</f>
        <v>2.2405913909645525E-7</v>
      </c>
      <c r="H17" s="53">
        <f t="shared" ref="H17:K17" si="27">ABS(H15-H13)+ABS(H16-H14)</f>
        <v>9.3662630314128581E-7</v>
      </c>
      <c r="I17" s="53">
        <f t="shared" si="27"/>
        <v>1.9735839779100317E-7</v>
      </c>
      <c r="J17" s="53">
        <f t="shared" si="27"/>
        <v>1.645495682767173E-8</v>
      </c>
      <c r="K17" s="95">
        <f t="shared" si="27"/>
        <v>1.6423918947072735E-8</v>
      </c>
      <c r="M17" s="81"/>
      <c r="N17" s="251" t="s">
        <v>10</v>
      </c>
      <c r="O17" s="251"/>
      <c r="P17" s="26"/>
      <c r="Q17" s="251" t="s">
        <v>5</v>
      </c>
      <c r="R17" s="251"/>
      <c r="S17" s="26"/>
      <c r="T17" s="251" t="s">
        <v>6</v>
      </c>
      <c r="U17" s="252"/>
      <c r="W17" s="86"/>
      <c r="X17" s="86"/>
      <c r="Y17" s="86"/>
      <c r="Z17" s="1"/>
      <c r="AA17" s="63"/>
    </row>
    <row r="18" spans="2:27" ht="17" thickBot="1" x14ac:dyDescent="0.25">
      <c r="B18" s="29">
        <f>'Raw Data'!B18</f>
        <v>-4826.7924988266705</v>
      </c>
      <c r="C18" s="25">
        <f>'Raw Data'!C18</f>
        <v>-4826.8156073780001</v>
      </c>
      <c r="D18" s="30">
        <f>'Raw Data'!D18</f>
        <v>-4826.8250219972497</v>
      </c>
      <c r="F18" s="23" t="s">
        <v>14</v>
      </c>
      <c r="G18" s="52">
        <v>-6.2406267198498845E-3</v>
      </c>
      <c r="H18" s="52">
        <v>-4.0325297838317963E-3</v>
      </c>
      <c r="I18" s="52">
        <v>-6.3159040463838618E-3</v>
      </c>
      <c r="J18" s="52">
        <v>-4.2512366604807025E-3</v>
      </c>
      <c r="K18" s="93">
        <v>-6.1659178679381761E-3</v>
      </c>
      <c r="M18" s="81"/>
      <c r="N18" s="22">
        <v>1</v>
      </c>
      <c r="O18" s="22">
        <v>2</v>
      </c>
      <c r="P18" s="22"/>
      <c r="Q18" s="22">
        <f>O18+0.25</f>
        <v>2.25</v>
      </c>
      <c r="R18" s="22">
        <f>Q18+1</f>
        <v>3.25</v>
      </c>
      <c r="S18" s="22"/>
      <c r="T18" s="22">
        <f>R18+0.25</f>
        <v>3.5</v>
      </c>
      <c r="U18" s="79">
        <f>T18+1</f>
        <v>4.5</v>
      </c>
      <c r="W18" s="86"/>
      <c r="X18" s="86"/>
      <c r="Y18" s="86"/>
      <c r="Z18" s="1"/>
      <c r="AA18" s="63"/>
    </row>
    <row r="19" spans="2:27" ht="17" thickBot="1" x14ac:dyDescent="0.25">
      <c r="B19" s="20"/>
      <c r="C19" s="20"/>
      <c r="D19" s="20"/>
      <c r="F19" s="54" t="s">
        <v>20</v>
      </c>
      <c r="G19" s="45">
        <v>9.7996858464374059E-2</v>
      </c>
      <c r="H19" s="45">
        <v>0.10097299409579245</v>
      </c>
      <c r="I19" s="45">
        <v>9.4864666252830465E-2</v>
      </c>
      <c r="J19" s="45">
        <v>9.5564758918131418E-2</v>
      </c>
      <c r="K19" s="94">
        <v>0.11178545624878958</v>
      </c>
      <c r="M19" s="82" t="s">
        <v>29</v>
      </c>
      <c r="N19" s="6">
        <f>AVERAGE(B4:B5)-AVERAGE($B$4:$B$5)</f>
        <v>0</v>
      </c>
      <c r="O19" s="6">
        <f>N19</f>
        <v>0</v>
      </c>
      <c r="P19" s="6"/>
      <c r="Q19" s="6">
        <f>AVERAGE(C4:C5)-AVERAGE($B$4:$B$5)</f>
        <v>-7.7696188855043147E-3</v>
      </c>
      <c r="R19" s="6">
        <f>Q19</f>
        <v>-7.7696188855043147E-3</v>
      </c>
      <c r="S19" s="1"/>
      <c r="T19" s="6">
        <f>AVERAGE(D4:D5)-AVERAGE($B$4:$B$5)</f>
        <v>-4.4776387358069769E-3</v>
      </c>
      <c r="U19" s="7">
        <f>T19</f>
        <v>-4.4776387358069769E-3</v>
      </c>
      <c r="W19" s="86"/>
      <c r="X19" s="86"/>
      <c r="Y19" s="86"/>
      <c r="Z19" s="1"/>
      <c r="AA19" s="63"/>
    </row>
    <row r="20" spans="2:27" ht="17" thickBot="1" x14ac:dyDescent="0.25">
      <c r="B20" s="255" t="str">
        <f>'Raw Data'!B20</f>
        <v>RAS(p)-nSF-IP</v>
      </c>
      <c r="C20" s="256"/>
      <c r="D20" s="257"/>
      <c r="F20" s="96"/>
      <c r="G20" s="39"/>
      <c r="H20" s="39"/>
      <c r="I20" s="39"/>
      <c r="J20" s="39"/>
      <c r="K20" s="39"/>
      <c r="M20" s="82" t="s">
        <v>28</v>
      </c>
      <c r="N20" s="6">
        <f>AVERAGE(B8:B9)-AVERAGE($B$4:$B$5)</f>
        <v>8.3065675224133884E-2</v>
      </c>
      <c r="O20" s="6">
        <f t="shared" ref="O20:O26" si="28">N20</f>
        <v>8.3065675224133884E-2</v>
      </c>
      <c r="P20" s="1"/>
      <c r="Q20" s="6">
        <f>AVERAGE(C8:C9)-AVERAGE($B$4:$B$5)</f>
        <v>3.7347378054619185E-2</v>
      </c>
      <c r="R20" s="6">
        <f t="shared" ref="R20:R26" si="29">Q20</f>
        <v>3.7347378054619185E-2</v>
      </c>
      <c r="S20" s="1"/>
      <c r="T20" s="6">
        <f>AVERAGE(D6:D7)-AVERAGE($B$4:$B$5)</f>
        <v>1.5074864319103654E-2</v>
      </c>
      <c r="U20" s="7">
        <f t="shared" ref="U20:U26" si="30">T20</f>
        <v>1.5074864319103654E-2</v>
      </c>
      <c r="W20" s="86"/>
      <c r="X20" s="86"/>
      <c r="Y20" s="86"/>
      <c r="Z20" s="1"/>
      <c r="AA20" s="69"/>
    </row>
    <row r="21" spans="2:27" ht="17" thickBot="1" x14ac:dyDescent="0.25">
      <c r="B21" s="31" t="str">
        <f>'Raw Data'!B21</f>
        <v>S = 5/2</v>
      </c>
      <c r="C21" s="32" t="str">
        <f>'Raw Data'!C21</f>
        <v>S = 3/2</v>
      </c>
      <c r="D21" s="33" t="str">
        <f>'Raw Data'!D21</f>
        <v>S = 1/2</v>
      </c>
      <c r="M21" s="82" t="s">
        <v>31</v>
      </c>
      <c r="N21" s="6">
        <f>B6-AVERAGE($B$4:$B$5)</f>
        <v>7.4390838554791117E-2</v>
      </c>
      <c r="O21" s="6">
        <f t="shared" si="28"/>
        <v>7.4390838554791117E-2</v>
      </c>
      <c r="P21" s="1"/>
      <c r="Q21" s="6">
        <f>C6-AVERAGE($B$4:$B$5)</f>
        <v>3.0441858514677733E-2</v>
      </c>
      <c r="R21" s="6">
        <f t="shared" si="29"/>
        <v>3.0441858514677733E-2</v>
      </c>
      <c r="S21" s="1"/>
      <c r="T21" s="6">
        <f>D8-AVERAGE($B$4:$B$5)</f>
        <v>1.9978124084445881E-2</v>
      </c>
      <c r="U21" s="7">
        <f t="shared" si="30"/>
        <v>1.9978124084445881E-2</v>
      </c>
      <c r="W21" s="1"/>
      <c r="X21" s="1"/>
      <c r="Y21" s="1"/>
      <c r="Z21" s="1"/>
      <c r="AA21" s="69"/>
    </row>
    <row r="22" spans="2:27" x14ac:dyDescent="0.2">
      <c r="B22" s="34">
        <f>'Raw Data'!B22</f>
        <v>-4826.7756001255002</v>
      </c>
      <c r="C22" s="36">
        <f>'Raw Data'!C22</f>
        <v>-4826.7837412833496</v>
      </c>
      <c r="D22" s="38">
        <f>'Raw Data'!D22</f>
        <v>-4826.7807305347496</v>
      </c>
      <c r="M22" s="83" t="s">
        <v>30</v>
      </c>
      <c r="N22" s="6">
        <f>B7-AVERAGE($B$4:$B$5)</f>
        <v>7.5315808914638183E-2</v>
      </c>
      <c r="O22" s="6">
        <f t="shared" si="28"/>
        <v>7.5315808914638183E-2</v>
      </c>
      <c r="P22" s="1"/>
      <c r="Q22" s="6">
        <f>C7-AVERAGE($B$4:$B$5)</f>
        <v>3.096612335411919E-2</v>
      </c>
      <c r="R22" s="6">
        <f t="shared" si="29"/>
        <v>3.096612335411919E-2</v>
      </c>
      <c r="S22" s="1"/>
      <c r="T22" s="6">
        <f>D9-AVERAGE($B$4:$B$5)</f>
        <v>2.043411318481958E-2</v>
      </c>
      <c r="U22" s="7">
        <f t="shared" si="30"/>
        <v>2.043411318481958E-2</v>
      </c>
      <c r="W22" s="1"/>
      <c r="X22" s="1"/>
      <c r="Y22" s="1"/>
      <c r="Z22" s="1"/>
      <c r="AA22" s="1"/>
    </row>
    <row r="23" spans="2:27" x14ac:dyDescent="0.2">
      <c r="B23" s="34">
        <f>'Raw Data'!B23</f>
        <v>-4826.7755985636504</v>
      </c>
      <c r="C23" s="36">
        <f>'Raw Data'!C23</f>
        <v>-4826.7837404394704</v>
      </c>
      <c r="D23" s="38">
        <f>'Raw Data'!D23</f>
        <v>-4826.7807298161397</v>
      </c>
      <c r="M23" s="83" t="s">
        <v>24</v>
      </c>
      <c r="N23" s="86">
        <f>N7-$N$7</f>
        <v>0</v>
      </c>
      <c r="O23" s="6">
        <f t="shared" si="28"/>
        <v>0</v>
      </c>
      <c r="P23" s="1"/>
      <c r="Q23" s="86">
        <f>O7-$N$7</f>
        <v>-7.7696188855043147E-3</v>
      </c>
      <c r="R23" s="6">
        <f t="shared" si="29"/>
        <v>-7.7696188855043147E-3</v>
      </c>
      <c r="S23" s="1"/>
      <c r="T23" s="86">
        <f>P7-$N$7</f>
        <v>-6.8936785351979765E-3</v>
      </c>
      <c r="U23" s="7">
        <f t="shared" si="30"/>
        <v>-6.8936785351979765E-3</v>
      </c>
      <c r="W23" s="88"/>
      <c r="X23" s="88"/>
      <c r="Y23" s="88"/>
    </row>
    <row r="24" spans="2:27" x14ac:dyDescent="0.2">
      <c r="B24" s="27">
        <f>'Raw Data'!B24</f>
        <v>-4826.7023231926896</v>
      </c>
      <c r="C24" s="24">
        <f>'Raw Data'!C24</f>
        <v>-4826.7426521515999</v>
      </c>
      <c r="D24" s="38">
        <f>'Raw Data'!D24</f>
        <v>-4826.76176692435</v>
      </c>
      <c r="M24" s="83" t="s">
        <v>25</v>
      </c>
      <c r="N24" s="86">
        <f>N8-$N$7</f>
        <v>8.3065675224133884E-2</v>
      </c>
      <c r="O24" s="6">
        <f t="shared" si="28"/>
        <v>8.3065675224133884E-2</v>
      </c>
      <c r="P24" s="1"/>
      <c r="Q24" s="86">
        <f>O8-$N$7</f>
        <v>4.7607497930584941E-2</v>
      </c>
      <c r="R24" s="6">
        <f t="shared" si="29"/>
        <v>4.7607497930584941E-2</v>
      </c>
      <c r="S24" s="1"/>
      <c r="T24" s="86">
        <f>P8-$N$7</f>
        <v>2.0794879872846651E-2</v>
      </c>
      <c r="U24" s="7">
        <f t="shared" si="30"/>
        <v>2.0794879872846651E-2</v>
      </c>
    </row>
    <row r="25" spans="2:27" x14ac:dyDescent="0.2">
      <c r="B25" s="27">
        <f>'Raw Data'!B25</f>
        <v>-4826.7014306411002</v>
      </c>
      <c r="C25" s="24">
        <f>'Raw Data'!C25</f>
        <v>-4826.7420839020497</v>
      </c>
      <c r="D25" s="38">
        <f>'Raw Data'!D25</f>
        <v>-4826.76176636521</v>
      </c>
      <c r="M25" s="84" t="s">
        <v>26</v>
      </c>
      <c r="N25" s="86">
        <f>N12-$N$12</f>
        <v>0</v>
      </c>
      <c r="O25" s="6">
        <f t="shared" si="28"/>
        <v>0</v>
      </c>
      <c r="P25" s="1"/>
      <c r="Q25" s="86">
        <f>O12-$N$12</f>
        <v>-7.7698429210224101E-3</v>
      </c>
      <c r="R25" s="6">
        <f t="shared" si="29"/>
        <v>-7.7698429210224101E-3</v>
      </c>
      <c r="S25" s="1"/>
      <c r="T25" s="86">
        <f>P12-$N$12</f>
        <v>-8.4752711047045431E-3</v>
      </c>
      <c r="U25" s="7">
        <f t="shared" si="30"/>
        <v>-8.4752711047045431E-3</v>
      </c>
    </row>
    <row r="26" spans="2:27" ht="17" thickBot="1" x14ac:dyDescent="0.25">
      <c r="B26" s="34">
        <f>'Raw Data'!B26</f>
        <v>-4826.6938750101199</v>
      </c>
      <c r="C26" s="36">
        <f>'Raw Data'!C26</f>
        <v>-4826.7396364261604</v>
      </c>
      <c r="D26" s="28">
        <f>'Raw Data'!D26</f>
        <v>-4826.7564101458202</v>
      </c>
      <c r="M26" s="84" t="s">
        <v>27</v>
      </c>
      <c r="N26" s="86">
        <f>N13-$N$12</f>
        <v>8.3065675224133884E-2</v>
      </c>
      <c r="O26" s="6">
        <f t="shared" si="28"/>
        <v>8.3065675224133884E-2</v>
      </c>
      <c r="P26" s="1"/>
      <c r="Q26" s="86">
        <f>O13-$N$12</f>
        <v>3.7347378030998184E-2</v>
      </c>
      <c r="R26" s="6">
        <f t="shared" si="29"/>
        <v>3.7347378030998184E-2</v>
      </c>
      <c r="S26" s="1"/>
      <c r="T26" s="86">
        <f>P13-$N$12</f>
        <v>1.2946266697867258E-2</v>
      </c>
      <c r="U26" s="7">
        <f t="shared" si="30"/>
        <v>1.2946266697867258E-2</v>
      </c>
    </row>
    <row r="27" spans="2:27" ht="17" thickBot="1" x14ac:dyDescent="0.25">
      <c r="B27" s="35">
        <f>'Raw Data'!B27</f>
        <v>-4826.6938745323196</v>
      </c>
      <c r="C27" s="37">
        <f>'Raw Data'!C27</f>
        <v>-4826.7396358518099</v>
      </c>
      <c r="D27" s="30">
        <f>'Raw Data'!D27</f>
        <v>-4826.7560191725597</v>
      </c>
      <c r="M27" s="80"/>
      <c r="N27" s="253" t="s">
        <v>4</v>
      </c>
      <c r="O27" s="253"/>
      <c r="P27" s="253"/>
      <c r="Q27" s="253"/>
      <c r="R27" s="253"/>
      <c r="S27" s="253"/>
      <c r="T27" s="253"/>
      <c r="U27" s="254"/>
    </row>
    <row r="28" spans="2:27" ht="17" thickBot="1" x14ac:dyDescent="0.25">
      <c r="B28" s="20"/>
      <c r="C28" s="20"/>
      <c r="D28" s="20"/>
      <c r="M28" s="81"/>
      <c r="N28" s="251" t="s">
        <v>10</v>
      </c>
      <c r="O28" s="251"/>
      <c r="P28" s="26"/>
      <c r="Q28" s="251" t="s">
        <v>5</v>
      </c>
      <c r="R28" s="251"/>
      <c r="S28" s="26"/>
      <c r="T28" s="251" t="s">
        <v>6</v>
      </c>
      <c r="U28" s="252"/>
    </row>
    <row r="29" spans="2:27" ht="17" thickBot="1" x14ac:dyDescent="0.25">
      <c r="B29" s="255" t="str">
        <f>'Raw Data'!B29</f>
        <v>RAS(h,p)-nSF-IP</v>
      </c>
      <c r="C29" s="256"/>
      <c r="D29" s="257"/>
      <c r="M29" s="81"/>
      <c r="N29" s="22">
        <v>1</v>
      </c>
      <c r="O29" s="22">
        <v>2</v>
      </c>
      <c r="P29" s="22"/>
      <c r="Q29" s="22">
        <f>O29+0.25</f>
        <v>2.25</v>
      </c>
      <c r="R29" s="22">
        <f>Q29+1</f>
        <v>3.25</v>
      </c>
      <c r="S29" s="22"/>
      <c r="T29" s="22">
        <f>R29+0.25</f>
        <v>3.5</v>
      </c>
      <c r="U29" s="79">
        <f>T29+1</f>
        <v>4.5</v>
      </c>
    </row>
    <row r="30" spans="2:27" ht="17" thickBot="1" x14ac:dyDescent="0.25">
      <c r="B30" s="31" t="str">
        <f>'Raw Data'!B30</f>
        <v>S = 5/2</v>
      </c>
      <c r="C30" s="32" t="str">
        <f>'Raw Data'!C30</f>
        <v>S = 3/2</v>
      </c>
      <c r="D30" s="33" t="str">
        <f>'Raw Data'!D30</f>
        <v>S = 1/2</v>
      </c>
      <c r="M30" s="82" t="s">
        <v>29</v>
      </c>
      <c r="N30" s="6">
        <f>AVERAGE(B13:B14)-AVERAGE($B$13:$B$14)</f>
        <v>0</v>
      </c>
      <c r="O30" s="6">
        <f>N30</f>
        <v>0</v>
      </c>
      <c r="P30" s="6"/>
      <c r="Q30" s="6">
        <f>AVERAGE(C13:C14)-AVERAGE($B$13:$B$14)</f>
        <v>-4.2348185152150108E-3</v>
      </c>
      <c r="R30" s="6">
        <f>Q30</f>
        <v>-4.2348185152150108E-3</v>
      </c>
      <c r="S30" s="1"/>
      <c r="T30" s="6">
        <f>AVERAGE(D13:D14)-AVERAGE($B$13:$B$14)</f>
        <v>-1.9593419401644496E-3</v>
      </c>
      <c r="U30" s="7">
        <f>T30</f>
        <v>-1.9593419401644496E-3</v>
      </c>
    </row>
    <row r="31" spans="2:27" x14ac:dyDescent="0.2">
      <c r="B31" s="34">
        <f>'Raw Data'!B31</f>
        <v>-4826.8501997249195</v>
      </c>
      <c r="C31" s="36">
        <f>'Raw Data'!C31</f>
        <v>-4826.8549005892801</v>
      </c>
      <c r="D31" s="38">
        <f>'Raw Data'!D31</f>
        <v>-4826.85264941474</v>
      </c>
      <c r="M31" s="82" t="s">
        <v>28</v>
      </c>
      <c r="N31" s="6">
        <f>AVERAGE(B16:B17)-AVERAGE($B$13:$B$14)</f>
        <v>5.0638558344871853E-2</v>
      </c>
      <c r="O31" s="6">
        <f t="shared" ref="O31:O37" si="31">N31</f>
        <v>5.0638558344871853E-2</v>
      </c>
      <c r="P31" s="1"/>
      <c r="Q31" s="6">
        <f>AVERAGE(C15:C16)-AVERAGE($B$13:$B$14)</f>
        <v>2.7180538903849083E-2</v>
      </c>
      <c r="R31" s="6">
        <f t="shared" ref="R31:R37" si="32">Q31</f>
        <v>2.7180538903849083E-2</v>
      </c>
      <c r="S31" s="1"/>
      <c r="T31" s="6">
        <f>AVERAGE(D15:D16)-AVERAGE($B$13:$B$14)</f>
        <v>1.2394600855259341E-2</v>
      </c>
      <c r="U31" s="7">
        <f t="shared" ref="U31:U37" si="33">T31</f>
        <v>1.2394600855259341E-2</v>
      </c>
    </row>
    <row r="32" spans="2:27" x14ac:dyDescent="0.2">
      <c r="B32" s="34">
        <f>'Raw Data'!B32</f>
        <v>-4826.8501990646</v>
      </c>
      <c r="C32" s="36">
        <f>'Raw Data'!C32</f>
        <v>-4826.8549001557003</v>
      </c>
      <c r="D32" s="38">
        <f>'Raw Data'!D32</f>
        <v>-4826.8526490405602</v>
      </c>
      <c r="M32" s="82" t="s">
        <v>31</v>
      </c>
      <c r="N32" s="6">
        <f>B15-AVERAGE($B$13:$B$14)</f>
        <v>4.9367734479346836E-2</v>
      </c>
      <c r="O32" s="6">
        <f t="shared" si="31"/>
        <v>4.9367734479346836E-2</v>
      </c>
      <c r="P32" s="1"/>
      <c r="Q32" s="6">
        <f>C17-AVERAGE($B$13:$B$14)</f>
        <v>2.7217742349421314E-2</v>
      </c>
      <c r="R32" s="6">
        <f t="shared" si="32"/>
        <v>2.7217742349421314E-2</v>
      </c>
      <c r="S32" s="1"/>
      <c r="T32" s="6">
        <f>D17-AVERAGE($B$13:$B$14)</f>
        <v>1.7656856079156569E-2</v>
      </c>
      <c r="U32" s="7">
        <f t="shared" si="33"/>
        <v>1.7656856079156569E-2</v>
      </c>
    </row>
    <row r="33" spans="2:21" x14ac:dyDescent="0.2">
      <c r="B33" s="27">
        <f>'Raw Data'!B33</f>
        <v>-4826.7989737922999</v>
      </c>
      <c r="C33" s="36">
        <f>'Raw Data'!C33</f>
        <v>-4826.8224872955798</v>
      </c>
      <c r="D33" s="38">
        <f>'Raw Data'!D33</f>
        <v>-4826.8380000996303</v>
      </c>
      <c r="M33" s="83" t="s">
        <v>30</v>
      </c>
      <c r="N33" s="6">
        <f>B18-AVERAGE($B$13:$B$14)</f>
        <v>5.0790742839126324E-2</v>
      </c>
      <c r="O33" s="6">
        <f t="shared" si="31"/>
        <v>5.0790742839126324E-2</v>
      </c>
      <c r="P33" s="1"/>
      <c r="Q33" s="6">
        <f>C18-AVERAGE($B$13:$B$14)</f>
        <v>2.7682191509484255E-2</v>
      </c>
      <c r="R33" s="6">
        <f t="shared" si="32"/>
        <v>2.7682191509484255E-2</v>
      </c>
      <c r="S33" s="1"/>
      <c r="T33" s="6">
        <f>D18-AVERAGE($B$13:$B$14)</f>
        <v>1.8267572259901499E-2</v>
      </c>
      <c r="U33" s="7">
        <f t="shared" si="33"/>
        <v>1.8267572259901499E-2</v>
      </c>
    </row>
    <row r="34" spans="2:21" x14ac:dyDescent="0.2">
      <c r="B34" s="27">
        <f>'Raw Data'!B34</f>
        <v>-4826.7975846429199</v>
      </c>
      <c r="C34" s="36">
        <f>'Raw Data'!C34</f>
        <v>-4826.8224870480899</v>
      </c>
      <c r="D34" s="38">
        <f>'Raw Data'!D34</f>
        <v>-4826.83799981025</v>
      </c>
      <c r="M34" s="83" t="s">
        <v>24</v>
      </c>
      <c r="N34" s="86">
        <f>Q7-$Q$7</f>
        <v>0</v>
      </c>
      <c r="O34" s="6">
        <f t="shared" si="31"/>
        <v>0</v>
      </c>
      <c r="P34" s="1"/>
      <c r="Q34" s="86">
        <f>R7-$Q$7</f>
        <v>-4.2348185152150108E-3</v>
      </c>
      <c r="R34" s="6">
        <f t="shared" si="32"/>
        <v>-4.2348185152150108E-3</v>
      </c>
      <c r="S34" s="1"/>
      <c r="T34" s="86">
        <f>S7-$Q$7</f>
        <v>-3.3998057346858943E-3</v>
      </c>
      <c r="U34" s="7">
        <f t="shared" si="33"/>
        <v>-3.3998057346858943E-3</v>
      </c>
    </row>
    <row r="35" spans="2:21" x14ac:dyDescent="0.2">
      <c r="B35" s="34">
        <f>'Raw Data'!B35</f>
        <v>-4826.7970720644598</v>
      </c>
      <c r="C35" s="24">
        <f>'Raw Data'!C35</f>
        <v>-4826.82153024328</v>
      </c>
      <c r="D35" s="28">
        <f>'Raw Data'!D35</f>
        <v>-4826.83293514038</v>
      </c>
      <c r="M35" s="83" t="s">
        <v>25</v>
      </c>
      <c r="N35" s="86">
        <f>Q8-$Q$7</f>
        <v>5.0638558344871853E-2</v>
      </c>
      <c r="O35" s="6">
        <f t="shared" si="31"/>
        <v>5.0638558344871853E-2</v>
      </c>
      <c r="P35" s="1"/>
      <c r="Q35" s="86">
        <f>R8-$Q$7</f>
        <v>2.952422038136622E-2</v>
      </c>
      <c r="R35" s="6">
        <f t="shared" si="32"/>
        <v>2.952422038136622E-2</v>
      </c>
      <c r="S35" s="1"/>
      <c r="T35" s="86">
        <f>S8-$Q$7</f>
        <v>1.3479713713604721E-2</v>
      </c>
      <c r="U35" s="7">
        <f t="shared" si="33"/>
        <v>1.3479713713604721E-2</v>
      </c>
    </row>
    <row r="36" spans="2:21" ht="17" thickBot="1" x14ac:dyDescent="0.25">
      <c r="B36" s="35">
        <f>'Raw Data'!B36</f>
        <v>-4826.7970718958704</v>
      </c>
      <c r="C36" s="25">
        <f>'Raw Data'!C36</f>
        <v>-4826.8210155182296</v>
      </c>
      <c r="D36" s="30">
        <f>'Raw Data'!D36</f>
        <v>-4826.8323530163298</v>
      </c>
      <c r="M36" s="84" t="s">
        <v>26</v>
      </c>
      <c r="N36" s="86">
        <f>Q12-$Q$12</f>
        <v>0</v>
      </c>
      <c r="O36" s="6">
        <f t="shared" si="31"/>
        <v>0</v>
      </c>
      <c r="P36" s="1"/>
      <c r="Q36" s="86">
        <f>R12-$Q$12</f>
        <v>-4.2350215046389646E-3</v>
      </c>
      <c r="R36" s="6">
        <f t="shared" si="32"/>
        <v>-4.2350215046389646E-3</v>
      </c>
      <c r="S36" s="1"/>
      <c r="T36" s="86">
        <f>S12-$Q$12</f>
        <v>-3.9021699522177947E-3</v>
      </c>
      <c r="U36" s="7">
        <f t="shared" si="33"/>
        <v>-3.9021699522177947E-3</v>
      </c>
    </row>
    <row r="37" spans="2:21" ht="17" thickBot="1" x14ac:dyDescent="0.25">
      <c r="B37" s="20"/>
      <c r="C37" s="20"/>
      <c r="D37" s="20"/>
      <c r="M37" s="84" t="s">
        <v>27</v>
      </c>
      <c r="N37" s="86">
        <f>Q13-$Q$12</f>
        <v>5.0638558344871853E-2</v>
      </c>
      <c r="O37" s="6">
        <f t="shared" si="31"/>
        <v>5.0638558344871853E-2</v>
      </c>
      <c r="P37" s="1"/>
      <c r="Q37" s="86">
        <f>R13-$Q$12</f>
        <v>2.7181272540728271E-2</v>
      </c>
      <c r="R37" s="6">
        <f t="shared" si="32"/>
        <v>2.7181272540728271E-2</v>
      </c>
      <c r="S37" s="1"/>
      <c r="T37" s="86">
        <f>S13-$Q$12</f>
        <v>1.1325223031286781E-2</v>
      </c>
      <c r="U37" s="7">
        <f t="shared" si="33"/>
        <v>1.1325223031286781E-2</v>
      </c>
    </row>
    <row r="38" spans="2:21" ht="17" thickBot="1" x14ac:dyDescent="0.25">
      <c r="B38" s="255" t="str">
        <f>'Raw Data'!B38</f>
        <v>RAS(S)-nSF-IP</v>
      </c>
      <c r="C38" s="256"/>
      <c r="D38" s="257"/>
      <c r="M38" s="80"/>
      <c r="N38" s="253" t="s">
        <v>7</v>
      </c>
      <c r="O38" s="253"/>
      <c r="P38" s="253"/>
      <c r="Q38" s="253"/>
      <c r="R38" s="253"/>
      <c r="S38" s="253"/>
      <c r="T38" s="253"/>
      <c r="U38" s="254"/>
    </row>
    <row r="39" spans="2:21" ht="17" thickBot="1" x14ac:dyDescent="0.25">
      <c r="B39" s="31" t="str">
        <f>'Raw Data'!B39</f>
        <v>S = 5/2</v>
      </c>
      <c r="C39" s="32" t="str">
        <f>'Raw Data'!C39</f>
        <v>S = 3/2</v>
      </c>
      <c r="D39" s="33" t="str">
        <f>'Raw Data'!D39</f>
        <v>S = 1/2</v>
      </c>
      <c r="M39" s="81"/>
      <c r="N39" s="251" t="s">
        <v>10</v>
      </c>
      <c r="O39" s="251"/>
      <c r="P39" s="26"/>
      <c r="Q39" s="251" t="s">
        <v>5</v>
      </c>
      <c r="R39" s="251"/>
      <c r="S39" s="26"/>
      <c r="T39" s="251" t="s">
        <v>6</v>
      </c>
      <c r="U39" s="252"/>
    </row>
    <row r="40" spans="2:21" x14ac:dyDescent="0.2">
      <c r="B40" s="90">
        <f>'Raw Data'!B40</f>
        <v>-4826.9376471962196</v>
      </c>
      <c r="C40" s="91">
        <f>'Raw Data'!C40</f>
        <v>-4826.9457030983804</v>
      </c>
      <c r="D40" s="92"/>
      <c r="M40" s="81"/>
      <c r="N40" s="22">
        <v>1</v>
      </c>
      <c r="O40" s="22">
        <v>2</v>
      </c>
      <c r="P40" s="22"/>
      <c r="Q40" s="22">
        <f>O40+0.25</f>
        <v>2.25</v>
      </c>
      <c r="R40" s="22">
        <f>Q40+1</f>
        <v>3.25</v>
      </c>
      <c r="S40" s="22"/>
      <c r="T40" s="22">
        <f>R40+0.25</f>
        <v>3.5</v>
      </c>
      <c r="U40" s="79">
        <f>T40+1</f>
        <v>4.5</v>
      </c>
    </row>
    <row r="41" spans="2:21" x14ac:dyDescent="0.2">
      <c r="B41" s="34">
        <f>'Raw Data'!B41</f>
        <v>-4826.9376467567399</v>
      </c>
      <c r="C41" s="36">
        <f>'Raw Data'!C41</f>
        <v>-4826.9457028581201</v>
      </c>
      <c r="D41" s="28"/>
      <c r="M41" s="82" t="s">
        <v>29</v>
      </c>
      <c r="N41" s="6">
        <f>AVERAGE(B22:B23)-AVERAGE($B$22:$B$23)</f>
        <v>0</v>
      </c>
      <c r="O41" s="6">
        <f>N41</f>
        <v>0</v>
      </c>
      <c r="P41" s="6"/>
      <c r="Q41" s="6">
        <f>AVERAGE(C22:C23)-AVERAGE($B$22:$B$23)</f>
        <v>-8.1415168351668399E-3</v>
      </c>
      <c r="R41" s="6">
        <f>Q41</f>
        <v>-8.1415168351668399E-3</v>
      </c>
      <c r="S41" s="1"/>
      <c r="T41" s="6">
        <f>AVERAGE(D22:D23)-AVERAGE($B$22:$B$23)</f>
        <v>-5.1308308693478466E-3</v>
      </c>
      <c r="U41" s="7">
        <f>T41</f>
        <v>-5.1308308693478466E-3</v>
      </c>
    </row>
    <row r="42" spans="2:21" x14ac:dyDescent="0.2">
      <c r="B42" s="27">
        <f>'Raw Data'!B42</f>
        <v>-4826.8761694780796</v>
      </c>
      <c r="C42" s="24">
        <f>'Raw Data'!C42</f>
        <v>-4826.91018280967</v>
      </c>
      <c r="D42" s="28"/>
      <c r="M42" s="82" t="s">
        <v>28</v>
      </c>
      <c r="N42" s="6">
        <f>AVERAGE(B26:B27)-AVERAGE($B$22:$B$23)</f>
        <v>8.1724573356041219E-2</v>
      </c>
      <c r="O42" s="6">
        <f t="shared" ref="O42:O48" si="34">N42</f>
        <v>8.1724573356041219E-2</v>
      </c>
      <c r="P42" s="1"/>
      <c r="Q42" s="6">
        <f>AVERAGE(C26:C27)-AVERAGE($B$22:$B$23)</f>
        <v>3.5963205589723657E-2</v>
      </c>
      <c r="R42" s="6">
        <f t="shared" ref="R42:R48" si="35">Q42</f>
        <v>3.5963205589723657E-2</v>
      </c>
      <c r="S42" s="1"/>
      <c r="T42" s="6">
        <f>AVERAGE(D24:D25)-AVERAGE($B$22:$B$23)</f>
        <v>1.3832699794875225E-2</v>
      </c>
      <c r="U42" s="7">
        <f t="shared" ref="U42:U48" si="36">T42</f>
        <v>1.3832699794875225E-2</v>
      </c>
    </row>
    <row r="43" spans="2:21" x14ac:dyDescent="0.2">
      <c r="B43" s="27">
        <f>'Raw Data'!B43</f>
        <v>-4826.8750179681501</v>
      </c>
      <c r="C43" s="24">
        <f>'Raw Data'!C43</f>
        <v>-4826.9095148573797</v>
      </c>
      <c r="D43" s="28"/>
      <c r="M43" s="82" t="s">
        <v>31</v>
      </c>
      <c r="N43" s="6">
        <f>B24-AVERAGE($B$22:$B$23)</f>
        <v>7.3276151885693253E-2</v>
      </c>
      <c r="O43" s="6">
        <f t="shared" si="34"/>
        <v>7.3276151885693253E-2</v>
      </c>
      <c r="P43" s="1"/>
      <c r="Q43" s="6">
        <f>C24-AVERAGE($B$22:$B$23)</f>
        <v>3.2947192975370854E-2</v>
      </c>
      <c r="R43" s="6">
        <f t="shared" si="35"/>
        <v>3.2947192975370854E-2</v>
      </c>
      <c r="S43" s="1"/>
      <c r="T43" s="6">
        <f>D26-AVERAGE($B$22:$B$23)</f>
        <v>1.9189198755157122E-2</v>
      </c>
      <c r="U43" s="7">
        <f t="shared" si="36"/>
        <v>1.9189198755157122E-2</v>
      </c>
    </row>
    <row r="44" spans="2:21" x14ac:dyDescent="0.2">
      <c r="B44" s="34">
        <f>'Raw Data'!B44</f>
        <v>-4826.8694742282496</v>
      </c>
      <c r="C44" s="36">
        <f>'Raw Data'!C44</f>
        <v>-4826.9048635146801</v>
      </c>
      <c r="D44" s="28"/>
      <c r="M44" s="83" t="s">
        <v>30</v>
      </c>
      <c r="N44" s="6">
        <f>B25-AVERAGE($B$22:$B$23)</f>
        <v>7.4168703475152142E-2</v>
      </c>
      <c r="O44" s="6">
        <f t="shared" si="34"/>
        <v>7.4168703475152142E-2</v>
      </c>
      <c r="P44" s="1"/>
      <c r="Q44" s="6">
        <f>C25-AVERAGE($B$22:$B$23)</f>
        <v>3.3515442525640537E-2</v>
      </c>
      <c r="R44" s="6">
        <f t="shared" si="35"/>
        <v>3.3515442525640537E-2</v>
      </c>
      <c r="S44" s="1"/>
      <c r="T44" s="6">
        <f>D27-AVERAGE($B$22:$B$23)</f>
        <v>1.9580172015594144E-2</v>
      </c>
      <c r="U44" s="7">
        <f t="shared" si="36"/>
        <v>1.9580172015594144E-2</v>
      </c>
    </row>
    <row r="45" spans="2:21" ht="17" thickBot="1" x14ac:dyDescent="0.25">
      <c r="B45" s="35">
        <f>'Raw Data'!B45</f>
        <v>-4826.8694741692198</v>
      </c>
      <c r="C45" s="37">
        <f>'Raw Data'!C45</f>
        <v>-4826.9048634419396</v>
      </c>
      <c r="D45" s="30"/>
      <c r="M45" s="83" t="s">
        <v>24</v>
      </c>
      <c r="N45" s="86">
        <f>T7-$T$7</f>
        <v>0</v>
      </c>
      <c r="O45" s="6">
        <f t="shared" si="34"/>
        <v>0</v>
      </c>
      <c r="P45" s="1"/>
      <c r="Q45" s="86">
        <f>U7-$T$7</f>
        <v>-8.1415168351668399E-3</v>
      </c>
      <c r="R45" s="6">
        <f t="shared" si="35"/>
        <v>-8.1415168351668399E-3</v>
      </c>
      <c r="S45" s="1"/>
      <c r="T45" s="86">
        <f>V7-$T$7</f>
        <v>-7.5781220458641871E-3</v>
      </c>
      <c r="U45" s="7">
        <f t="shared" si="36"/>
        <v>-7.5781220458641871E-3</v>
      </c>
    </row>
    <row r="46" spans="2:21" x14ac:dyDescent="0.2">
      <c r="B46" s="24"/>
      <c r="C46" s="24"/>
      <c r="D46" s="24"/>
      <c r="M46" s="83" t="s">
        <v>25</v>
      </c>
      <c r="N46" s="86">
        <f>T8-$T$7</f>
        <v>8.1724573356041219E-2</v>
      </c>
      <c r="O46" s="6">
        <f t="shared" si="34"/>
        <v>8.1724573356041219E-2</v>
      </c>
      <c r="P46" s="1"/>
      <c r="Q46" s="86">
        <f>U8-$T$7</f>
        <v>4.6341532068860644E-2</v>
      </c>
      <c r="R46" s="6">
        <f t="shared" si="35"/>
        <v>4.6341532068860644E-2</v>
      </c>
      <c r="S46" s="1"/>
      <c r="T46" s="86">
        <f>V8-$T$7</f>
        <v>1.9663402406149548E-2</v>
      </c>
      <c r="U46" s="7">
        <f t="shared" si="36"/>
        <v>1.9663402406149548E-2</v>
      </c>
    </row>
    <row r="47" spans="2:21" x14ac:dyDescent="0.2">
      <c r="B47" s="24"/>
      <c r="C47" s="24"/>
      <c r="D47" s="24"/>
      <c r="M47" s="84" t="s">
        <v>26</v>
      </c>
      <c r="N47" s="86">
        <f>T12-$T$12</f>
        <v>0</v>
      </c>
      <c r="O47" s="6">
        <f t="shared" si="34"/>
        <v>0</v>
      </c>
      <c r="P47" s="1"/>
      <c r="Q47" s="86">
        <f>U12-$T$12</f>
        <v>-8.1413480570252245E-3</v>
      </c>
      <c r="R47" s="6">
        <f t="shared" si="35"/>
        <v>-8.1413480570252245E-3</v>
      </c>
      <c r="S47" s="1"/>
      <c r="T47" s="86">
        <f>V12-$T$12</f>
        <v>-9.160974890150525E-3</v>
      </c>
      <c r="U47" s="7">
        <f t="shared" si="36"/>
        <v>-9.160974890150525E-3</v>
      </c>
    </row>
    <row r="48" spans="2:21" ht="17" thickBot="1" x14ac:dyDescent="0.25">
      <c r="M48" s="84" t="s">
        <v>27</v>
      </c>
      <c r="N48" s="86">
        <f>T13-$T$12</f>
        <v>8.1724573356041219E-2</v>
      </c>
      <c r="O48" s="6">
        <f t="shared" si="34"/>
        <v>8.1724573356041219E-2</v>
      </c>
      <c r="P48" s="1"/>
      <c r="Q48" s="86">
        <f>U13-$T$12</f>
        <v>3.5963177009467481E-2</v>
      </c>
      <c r="R48" s="6">
        <f t="shared" si="35"/>
        <v>3.5963177009467481E-2</v>
      </c>
      <c r="S48" s="1"/>
      <c r="T48" s="86">
        <f>V13-$T$12</f>
        <v>1.177260298356388E-2</v>
      </c>
      <c r="U48" s="7">
        <f t="shared" si="36"/>
        <v>1.177260298356388E-2</v>
      </c>
    </row>
    <row r="49" spans="13:21" ht="17" thickBot="1" x14ac:dyDescent="0.25">
      <c r="M49" s="80"/>
      <c r="N49" s="253" t="s">
        <v>8</v>
      </c>
      <c r="O49" s="253"/>
      <c r="P49" s="253"/>
      <c r="Q49" s="253"/>
      <c r="R49" s="253"/>
      <c r="S49" s="253"/>
      <c r="T49" s="253"/>
      <c r="U49" s="254"/>
    </row>
    <row r="50" spans="13:21" x14ac:dyDescent="0.2">
      <c r="M50" s="81"/>
      <c r="N50" s="251" t="s">
        <v>10</v>
      </c>
      <c r="O50" s="251"/>
      <c r="P50" s="26"/>
      <c r="Q50" s="251" t="s">
        <v>5</v>
      </c>
      <c r="R50" s="251"/>
      <c r="S50" s="26"/>
      <c r="T50" s="251" t="s">
        <v>6</v>
      </c>
      <c r="U50" s="252"/>
    </row>
    <row r="51" spans="13:21" x14ac:dyDescent="0.2">
      <c r="M51" s="81"/>
      <c r="N51" s="22">
        <v>1</v>
      </c>
      <c r="O51" s="22">
        <v>2</v>
      </c>
      <c r="P51" s="22"/>
      <c r="Q51" s="22">
        <f>O51+0.25</f>
        <v>2.25</v>
      </c>
      <c r="R51" s="22">
        <f>Q51+1</f>
        <v>3.25</v>
      </c>
      <c r="S51" s="22"/>
      <c r="T51" s="22">
        <f>R51+0.25</f>
        <v>3.5</v>
      </c>
      <c r="U51" s="79">
        <f>T51+1</f>
        <v>4.5</v>
      </c>
    </row>
    <row r="52" spans="13:21" x14ac:dyDescent="0.2">
      <c r="M52" s="82" t="s">
        <v>29</v>
      </c>
      <c r="N52" s="6">
        <f>AVERAGE(B31:B32)-AVERAGE($B$31:$B$32)</f>
        <v>0</v>
      </c>
      <c r="O52" s="6">
        <f>N52</f>
        <v>0</v>
      </c>
      <c r="P52" s="6"/>
      <c r="Q52" s="6">
        <f>AVERAGE(C31:C32)-AVERAGE($B$31:$B$32)</f>
        <v>-4.7009777308630873E-3</v>
      </c>
      <c r="R52" s="6">
        <f>Q52</f>
        <v>-4.7009777308630873E-3</v>
      </c>
      <c r="S52" s="1"/>
      <c r="T52" s="6">
        <f>AVERAGE(D31:D32)-AVERAGE($B$31:$B$32)</f>
        <v>-2.4498328912159195E-3</v>
      </c>
      <c r="U52" s="7">
        <f>T52</f>
        <v>-2.4498328912159195E-3</v>
      </c>
    </row>
    <row r="53" spans="13:21" x14ac:dyDescent="0.2">
      <c r="M53" s="82" t="s">
        <v>28</v>
      </c>
      <c r="N53" s="6">
        <f>AVERAGE(B35:B36)-AVERAGE($B$31:$B$32)</f>
        <v>5.3127414594200673E-2</v>
      </c>
      <c r="O53" s="6">
        <f t="shared" ref="O53:O59" si="37">N53</f>
        <v>5.3127414594200673E-2</v>
      </c>
      <c r="P53" s="1"/>
      <c r="Q53" s="6">
        <f>AVERAGE(C33:C34)-AVERAGE($B$31:$B$32)</f>
        <v>2.771222292449238E-2</v>
      </c>
      <c r="R53" s="6">
        <f t="shared" ref="R53:R59" si="38">Q53</f>
        <v>2.771222292449238E-2</v>
      </c>
      <c r="S53" s="1"/>
      <c r="T53" s="6">
        <f>AVERAGE(D33:D34)-AVERAGE($B$31:$B$32)</f>
        <v>1.2199439819596591E-2</v>
      </c>
      <c r="U53" s="7">
        <f t="shared" ref="U53:U59" si="39">T53</f>
        <v>1.2199439819596591E-2</v>
      </c>
    </row>
    <row r="54" spans="13:21" x14ac:dyDescent="0.2">
      <c r="M54" s="82" t="s">
        <v>31</v>
      </c>
      <c r="N54" s="6">
        <f>B33-AVERAGE($B$31:$B$32)</f>
        <v>5.1225602459453512E-2</v>
      </c>
      <c r="O54" s="6">
        <f t="shared" si="37"/>
        <v>5.1225602459453512E-2</v>
      </c>
      <c r="P54" s="1"/>
      <c r="Q54" s="6">
        <f>C35-AVERAGE($B$31:$B$32)</f>
        <v>2.8669151479334687E-2</v>
      </c>
      <c r="R54" s="6">
        <f t="shared" si="38"/>
        <v>2.8669151479334687E-2</v>
      </c>
      <c r="S54" s="1"/>
      <c r="T54" s="6">
        <f>D35-AVERAGE($B$31:$B$32)</f>
        <v>1.7264254379369959E-2</v>
      </c>
      <c r="U54" s="7">
        <f t="shared" si="39"/>
        <v>1.7264254379369959E-2</v>
      </c>
    </row>
    <row r="55" spans="13:21" x14ac:dyDescent="0.2">
      <c r="M55" s="83" t="s">
        <v>30</v>
      </c>
      <c r="N55" s="6">
        <f>B34-AVERAGE($B$31:$B$32)</f>
        <v>5.2614751839428209E-2</v>
      </c>
      <c r="O55" s="6">
        <f t="shared" si="37"/>
        <v>5.2614751839428209E-2</v>
      </c>
      <c r="P55" s="1"/>
      <c r="Q55" s="6">
        <f>C36-AVERAGE($B$31:$B$32)</f>
        <v>2.9183876529714325E-2</v>
      </c>
      <c r="R55" s="6">
        <f t="shared" si="38"/>
        <v>2.9183876529714325E-2</v>
      </c>
      <c r="S55" s="1"/>
      <c r="T55" s="6">
        <f>D36-AVERAGE($B$31:$B$32)</f>
        <v>1.7846378429567267E-2</v>
      </c>
      <c r="U55" s="7">
        <f t="shared" si="39"/>
        <v>1.7846378429567267E-2</v>
      </c>
    </row>
    <row r="56" spans="13:21" x14ac:dyDescent="0.2">
      <c r="M56" s="83" t="s">
        <v>24</v>
      </c>
      <c r="N56" s="86">
        <f>W7-$W$7</f>
        <v>0</v>
      </c>
      <c r="O56" s="6">
        <f t="shared" si="37"/>
        <v>0</v>
      </c>
      <c r="P56" s="1"/>
      <c r="Q56" s="86">
        <f>X7-$W$7</f>
        <v>-4.7009777308630873E-3</v>
      </c>
      <c r="R56" s="6">
        <f t="shared" si="38"/>
        <v>-4.7009777308630873E-3</v>
      </c>
      <c r="S56" s="1"/>
      <c r="T56" s="86">
        <f>Y7-$W$7</f>
        <v>-3.97973672976756E-3</v>
      </c>
      <c r="U56" s="7">
        <f t="shared" si="39"/>
        <v>-3.97973672976756E-3</v>
      </c>
    </row>
    <row r="57" spans="13:21" x14ac:dyDescent="0.2">
      <c r="M57" s="83" t="s">
        <v>25</v>
      </c>
      <c r="N57" s="86">
        <f>W8-$W$7</f>
        <v>5.3127414594200673E-2</v>
      </c>
      <c r="O57" s="6">
        <f t="shared" si="37"/>
        <v>5.3127414594200673E-2</v>
      </c>
      <c r="P57" s="1"/>
      <c r="Q57" s="86">
        <f>X8-$W$7</f>
        <v>3.0717298665270693E-2</v>
      </c>
      <c r="R57" s="6">
        <f t="shared" si="38"/>
        <v>3.0717298665270693E-2</v>
      </c>
      <c r="S57" s="1"/>
      <c r="T57" s="86">
        <f>Y8-$W$7</f>
        <v>1.3729401468299329E-2</v>
      </c>
      <c r="U57" s="7">
        <f t="shared" si="39"/>
        <v>1.3729401468299329E-2</v>
      </c>
    </row>
    <row r="58" spans="13:21" x14ac:dyDescent="0.2">
      <c r="M58" s="84" t="s">
        <v>26</v>
      </c>
      <c r="N58" s="86">
        <f>W12-$W$12</f>
        <v>0</v>
      </c>
      <c r="O58" s="6">
        <f t="shared" si="37"/>
        <v>0</v>
      </c>
      <c r="P58" s="1"/>
      <c r="Q58" s="86">
        <f>X12-$W$12</f>
        <v>-4.70097780958844E-3</v>
      </c>
      <c r="R58" s="6">
        <f t="shared" si="38"/>
        <v>-4.70097780958844E-3</v>
      </c>
      <c r="S58" s="1"/>
      <c r="T58" s="86">
        <f>Y12-$W$12</f>
        <v>-4.5860033158329865E-3</v>
      </c>
      <c r="U58" s="7">
        <f t="shared" si="39"/>
        <v>-4.5860033158329865E-3</v>
      </c>
    </row>
    <row r="59" spans="13:21" ht="17" thickBot="1" x14ac:dyDescent="0.25">
      <c r="M59" s="84" t="s">
        <v>27</v>
      </c>
      <c r="N59" s="86">
        <f>W13-$W$12</f>
        <v>5.312741459420068E-2</v>
      </c>
      <c r="O59" s="6">
        <f t="shared" si="37"/>
        <v>5.312741459420068E-2</v>
      </c>
      <c r="P59" s="1"/>
      <c r="Q59" s="86">
        <f>X13-$W$12</f>
        <v>2.7712206548260919E-2</v>
      </c>
      <c r="R59" s="6">
        <f t="shared" si="38"/>
        <v>2.7712206548260919E-2</v>
      </c>
      <c r="S59" s="1"/>
      <c r="T59" s="86">
        <f>Y13-$W$12</f>
        <v>1.1052895700968086E-2</v>
      </c>
      <c r="U59" s="7">
        <f t="shared" si="39"/>
        <v>1.1052895700968086E-2</v>
      </c>
    </row>
    <row r="60" spans="13:21" ht="17" thickBot="1" x14ac:dyDescent="0.25">
      <c r="M60" s="80"/>
      <c r="N60" s="253" t="s">
        <v>9</v>
      </c>
      <c r="O60" s="253"/>
      <c r="P60" s="253"/>
      <c r="Q60" s="253"/>
      <c r="R60" s="253"/>
      <c r="S60" s="253"/>
      <c r="T60" s="253"/>
      <c r="U60" s="254"/>
    </row>
    <row r="61" spans="13:21" x14ac:dyDescent="0.2">
      <c r="M61" s="81"/>
      <c r="N61" s="251" t="s">
        <v>10</v>
      </c>
      <c r="O61" s="251"/>
      <c r="P61" s="26"/>
      <c r="Q61" s="251" t="s">
        <v>5</v>
      </c>
      <c r="R61" s="251"/>
      <c r="S61" s="26"/>
      <c r="T61" s="251" t="s">
        <v>6</v>
      </c>
      <c r="U61" s="252"/>
    </row>
    <row r="62" spans="13:21" x14ac:dyDescent="0.2">
      <c r="M62" s="81"/>
      <c r="N62" s="22">
        <v>1</v>
      </c>
      <c r="O62" s="22">
        <v>2</v>
      </c>
      <c r="P62" s="22"/>
      <c r="Q62" s="22">
        <f>O62+0.25</f>
        <v>2.25</v>
      </c>
      <c r="R62" s="22">
        <f>Q62+1</f>
        <v>3.25</v>
      </c>
      <c r="S62" s="22"/>
      <c r="T62" s="22">
        <f>R62+0.25</f>
        <v>3.5</v>
      </c>
      <c r="U62" s="79">
        <f>T62+1</f>
        <v>4.5</v>
      </c>
    </row>
    <row r="63" spans="13:21" x14ac:dyDescent="0.2">
      <c r="M63" s="82" t="s">
        <v>29</v>
      </c>
      <c r="N63" s="6">
        <f>AVERAGE(B40:B41)-AVERAGE($B$40:$B$41)</f>
        <v>0</v>
      </c>
      <c r="O63" s="6">
        <f>N63</f>
        <v>0</v>
      </c>
      <c r="P63" s="1"/>
      <c r="Q63" s="6">
        <f>AVERAGE(C40:C41)-AVERAGE($B$40:$B$41)</f>
        <v>-8.056001770455623E-3</v>
      </c>
      <c r="R63" s="6">
        <f>Q63</f>
        <v>-8.056001770455623E-3</v>
      </c>
      <c r="S63" s="1"/>
      <c r="T63" s="6"/>
      <c r="U63" s="7"/>
    </row>
    <row r="64" spans="13:21" x14ac:dyDescent="0.2">
      <c r="M64" s="82" t="s">
        <v>28</v>
      </c>
      <c r="N64" s="6">
        <f>AVERAGE(B44:B45)-AVERAGE($B$40:$B$41)</f>
        <v>6.8172777744621271E-2</v>
      </c>
      <c r="O64" s="6">
        <f t="shared" ref="O64:O70" si="40">N64</f>
        <v>6.8172777744621271E-2</v>
      </c>
      <c r="P64" s="1"/>
      <c r="Q64" s="6">
        <f>AVERAGE(C44:C45)-AVERAGE($B$40:$B$41)</f>
        <v>3.2783498169010272E-2</v>
      </c>
      <c r="R64" s="6">
        <f t="shared" ref="R64:R70" si="41">Q64</f>
        <v>3.2783498169010272E-2</v>
      </c>
      <c r="S64" s="1"/>
      <c r="T64" s="6"/>
      <c r="U64" s="7"/>
    </row>
    <row r="65" spans="13:21" x14ac:dyDescent="0.2">
      <c r="M65" s="82" t="s">
        <v>31</v>
      </c>
      <c r="N65" s="6">
        <f>B42-AVERAGE($B$40:$B$41)</f>
        <v>6.1477498399653996E-2</v>
      </c>
      <c r="O65" s="6">
        <f t="shared" si="40"/>
        <v>6.1477498399653996E-2</v>
      </c>
      <c r="P65" s="1"/>
      <c r="Q65" s="6">
        <f>C42-AVERAGE($B$40:$B$41)</f>
        <v>2.7464166809295421E-2</v>
      </c>
      <c r="R65" s="6">
        <f t="shared" si="41"/>
        <v>2.7464166809295421E-2</v>
      </c>
      <c r="S65" s="1"/>
      <c r="T65" s="6"/>
      <c r="U65" s="7"/>
    </row>
    <row r="66" spans="13:21" x14ac:dyDescent="0.2">
      <c r="M66" s="83" t="s">
        <v>30</v>
      </c>
      <c r="N66" s="6">
        <f>B43-AVERAGE($B$40:$B$41)</f>
        <v>6.2629008329167846E-2</v>
      </c>
      <c r="O66" s="6">
        <f t="shared" si="40"/>
        <v>6.2629008329167846E-2</v>
      </c>
      <c r="P66" s="1"/>
      <c r="Q66" s="6">
        <f>C43-AVERAGE($B$40:$B$41)</f>
        <v>2.8132119099609554E-2</v>
      </c>
      <c r="R66" s="6">
        <f t="shared" si="41"/>
        <v>2.8132119099609554E-2</v>
      </c>
      <c r="S66" s="1"/>
      <c r="T66" s="6"/>
      <c r="U66" s="7"/>
    </row>
    <row r="67" spans="13:21" x14ac:dyDescent="0.2">
      <c r="M67" s="83" t="s">
        <v>24</v>
      </c>
      <c r="N67" s="86">
        <f>Z7-$Z$7</f>
        <v>0</v>
      </c>
      <c r="O67" s="6">
        <f t="shared" si="40"/>
        <v>0</v>
      </c>
      <c r="P67" s="1"/>
      <c r="Q67" s="86">
        <f>AA7-$Z$7</f>
        <v>-8.056001770455623E-3</v>
      </c>
      <c r="R67" s="6">
        <f t="shared" si="41"/>
        <v>-8.056001770455623E-3</v>
      </c>
      <c r="S67" s="1"/>
      <c r="T67" s="86">
        <f>AB7-$Z$7</f>
        <v>-8.3447509830875816E-3</v>
      </c>
      <c r="U67" s="7">
        <f t="shared" ref="U67:U70" si="42">T67</f>
        <v>-8.3447509830875816E-3</v>
      </c>
    </row>
    <row r="68" spans="13:21" x14ac:dyDescent="0.2">
      <c r="M68" s="83" t="s">
        <v>25</v>
      </c>
      <c r="N68" s="86">
        <f>Z8-$Z$7</f>
        <v>6.8172777744621271E-2</v>
      </c>
      <c r="O68" s="6">
        <f t="shared" si="40"/>
        <v>6.8172777744621271E-2</v>
      </c>
      <c r="P68" s="1"/>
      <c r="Q68" s="86">
        <f>AA8-$Z$7</f>
        <v>3.7392516725958558E-2</v>
      </c>
      <c r="R68" s="6">
        <f t="shared" si="41"/>
        <v>3.7392516725958558E-2</v>
      </c>
      <c r="S68" s="1"/>
      <c r="T68" s="86">
        <f>AB8-$Z$7</f>
        <v>1.4379508265119512E-2</v>
      </c>
      <c r="U68" s="7">
        <f t="shared" si="42"/>
        <v>1.4379508265119512E-2</v>
      </c>
    </row>
    <row r="69" spans="13:21" x14ac:dyDescent="0.2">
      <c r="M69" s="84" t="s">
        <v>26</v>
      </c>
      <c r="N69" s="86">
        <f>Z12-$Z$12</f>
        <v>0</v>
      </c>
      <c r="O69" s="6">
        <f t="shared" si="40"/>
        <v>0</v>
      </c>
      <c r="P69" s="1"/>
      <c r="Q69" s="86">
        <f>AA12-$Z$12</f>
        <v>-8.0560180955717015E-3</v>
      </c>
      <c r="R69" s="6">
        <f t="shared" si="41"/>
        <v>-8.0560180955717015E-3</v>
      </c>
      <c r="S69" s="1"/>
      <c r="T69" s="86">
        <f>AB12-$Z$12</f>
        <v>-9.2231337983091216E-3</v>
      </c>
      <c r="U69" s="7">
        <f t="shared" si="42"/>
        <v>-9.2231337983091216E-3</v>
      </c>
    </row>
    <row r="70" spans="13:21" ht="17" thickBot="1" x14ac:dyDescent="0.25">
      <c r="M70" s="85" t="s">
        <v>27</v>
      </c>
      <c r="N70" s="87">
        <f>Z13-$Z$12</f>
        <v>6.8172777744621271E-2</v>
      </c>
      <c r="O70" s="8">
        <f t="shared" si="40"/>
        <v>6.8172777744621271E-2</v>
      </c>
      <c r="P70" s="2"/>
      <c r="Q70" s="87">
        <f>AA13-$Z$12</f>
        <v>3.2783498070207404E-2</v>
      </c>
      <c r="R70" s="8">
        <f t="shared" si="41"/>
        <v>3.2783498070207404E-2</v>
      </c>
      <c r="S70" s="2"/>
      <c r="T70" s="87">
        <f>AB13-$Z$12</f>
        <v>1.0399526889700965E-2</v>
      </c>
      <c r="U70" s="9">
        <f t="shared" si="42"/>
        <v>1.0399526889700965E-2</v>
      </c>
    </row>
  </sheetData>
  <mergeCells count="34">
    <mergeCell ref="B29:D29"/>
    <mergeCell ref="B38:D38"/>
    <mergeCell ref="F9:K9"/>
    <mergeCell ref="M2:Y2"/>
    <mergeCell ref="N3:P3"/>
    <mergeCell ref="Q3:S3"/>
    <mergeCell ref="T3:V3"/>
    <mergeCell ref="W3:Y3"/>
    <mergeCell ref="F2:K2"/>
    <mergeCell ref="B2:D2"/>
    <mergeCell ref="B11:D11"/>
    <mergeCell ref="B20:D20"/>
    <mergeCell ref="Z3:AB3"/>
    <mergeCell ref="N60:U60"/>
    <mergeCell ref="N38:U38"/>
    <mergeCell ref="N39:O39"/>
    <mergeCell ref="Q39:R39"/>
    <mergeCell ref="T39:U39"/>
    <mergeCell ref="N49:U49"/>
    <mergeCell ref="N17:O17"/>
    <mergeCell ref="Q17:R17"/>
    <mergeCell ref="T17:U17"/>
    <mergeCell ref="N16:U16"/>
    <mergeCell ref="M15:U15"/>
    <mergeCell ref="N27:U27"/>
    <mergeCell ref="N28:O28"/>
    <mergeCell ref="Q28:R28"/>
    <mergeCell ref="T28:U28"/>
    <mergeCell ref="N61:O61"/>
    <mergeCell ref="Q61:R61"/>
    <mergeCell ref="T61:U61"/>
    <mergeCell ref="N50:O50"/>
    <mergeCell ref="Q50:R50"/>
    <mergeCell ref="T50:U50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6"/>
  <sheetViews>
    <sheetView workbookViewId="0">
      <selection activeCell="Q22" sqref="Q22"/>
    </sheetView>
  </sheetViews>
  <sheetFormatPr baseColWidth="10" defaultRowHeight="16" x14ac:dyDescent="0.2"/>
  <cols>
    <col min="1" max="1" width="6.1640625" customWidth="1"/>
    <col min="2" max="2" width="9.1640625" customWidth="1"/>
    <col min="3" max="3" width="15" customWidth="1"/>
    <col min="4" max="4" width="9.1640625" customWidth="1"/>
    <col min="5" max="5" width="15.83203125" customWidth="1"/>
    <col min="6" max="6" width="7" customWidth="1"/>
    <col min="7" max="7" width="13" customWidth="1"/>
    <col min="8" max="8" width="14.1640625" customWidth="1"/>
    <col min="9" max="9" width="14.83203125" customWidth="1"/>
    <col min="10" max="10" width="9.5" customWidth="1"/>
    <col min="11" max="11" width="10" customWidth="1"/>
    <col min="12" max="12" width="8.6640625" customWidth="1"/>
    <col min="13" max="13" width="11.83203125" bestFit="1" customWidth="1"/>
    <col min="15" max="15" width="15.5" customWidth="1"/>
    <col min="19" max="19" width="17.1640625" customWidth="1"/>
    <col min="25" max="25" width="15.5" customWidth="1"/>
  </cols>
  <sheetData>
    <row r="1" spans="2:31" ht="17" thickBot="1" x14ac:dyDescent="0.25"/>
    <row r="2" spans="2:31" ht="17" thickBot="1" x14ac:dyDescent="0.25">
      <c r="B2" s="239" t="s">
        <v>35</v>
      </c>
      <c r="C2" s="240"/>
      <c r="D2" s="39"/>
      <c r="E2" s="239" t="s">
        <v>64</v>
      </c>
      <c r="F2" s="244"/>
      <c r="G2" s="244"/>
      <c r="H2" s="244"/>
      <c r="I2" s="240"/>
      <c r="J2" s="160"/>
      <c r="K2" s="239" t="s">
        <v>61</v>
      </c>
      <c r="L2" s="244"/>
      <c r="M2" s="244"/>
      <c r="N2" s="244"/>
      <c r="O2" s="244"/>
      <c r="P2" s="244"/>
      <c r="Q2" s="240"/>
      <c r="S2" s="239" t="s">
        <v>81</v>
      </c>
      <c r="T2" s="244"/>
      <c r="U2" s="244"/>
      <c r="V2" s="244"/>
      <c r="W2" s="240"/>
    </row>
    <row r="3" spans="2:31" ht="17" thickBot="1" x14ac:dyDescent="0.25">
      <c r="B3" s="135">
        <v>219475</v>
      </c>
      <c r="C3" s="136" t="s">
        <v>36</v>
      </c>
      <c r="D3" s="1"/>
      <c r="E3" s="144"/>
      <c r="F3" s="145"/>
      <c r="G3" s="145"/>
      <c r="H3" s="145"/>
      <c r="I3" s="146"/>
      <c r="J3" s="22"/>
      <c r="K3" s="153"/>
      <c r="L3" s="151"/>
      <c r="M3" s="43" t="s">
        <v>0</v>
      </c>
      <c r="N3" s="43" t="s">
        <v>57</v>
      </c>
      <c r="O3" s="43" t="s">
        <v>58</v>
      </c>
      <c r="P3" s="43" t="s">
        <v>59</v>
      </c>
      <c r="Q3" s="44" t="s">
        <v>60</v>
      </c>
      <c r="S3" s="214"/>
      <c r="T3" s="43" t="s">
        <v>0</v>
      </c>
      <c r="U3" s="43" t="s">
        <v>57</v>
      </c>
      <c r="V3" s="43" t="s">
        <v>58</v>
      </c>
      <c r="W3" s="44" t="s">
        <v>59</v>
      </c>
      <c r="X3" s="97"/>
    </row>
    <row r="4" spans="2:31" ht="17" thickBot="1" x14ac:dyDescent="0.25">
      <c r="E4" s="261" t="s">
        <v>78</v>
      </c>
      <c r="F4" s="253"/>
      <c r="G4" s="253"/>
      <c r="H4" s="253"/>
      <c r="I4" s="254"/>
      <c r="J4" s="22"/>
      <c r="K4" s="228" t="s">
        <v>62</v>
      </c>
      <c r="L4" s="154" t="s">
        <v>12</v>
      </c>
      <c r="M4" s="155">
        <f>'Parameter Extraction'!G5*Summary!$B$3</f>
        <v>9115.419534908393</v>
      </c>
      <c r="N4" s="155">
        <f>'Parameter Extraction'!H5*Summary!$B$3</f>
        <v>5556.948796370375</v>
      </c>
      <c r="O4" s="155">
        <f>'Parameter Extraction'!I5*Summary!$B$3</f>
        <v>8968.2503686585733</v>
      </c>
      <c r="P4" s="155">
        <f>'Parameter Extraction'!J5*Summary!$B$3</f>
        <v>5830.0696590310963</v>
      </c>
      <c r="Q4" s="156">
        <f>'Parameter Extraction'!K5*Summary!$B$3</f>
        <v>7481.1101977503768</v>
      </c>
      <c r="S4" s="139" t="s">
        <v>24</v>
      </c>
      <c r="T4" s="220">
        <f>ABS(('Parameter Extraction'!T19-'Parameter Extraction'!T23)/'Parameter Extraction'!T19)</f>
        <v>0.53957899284511435</v>
      </c>
      <c r="U4" s="220">
        <f>ABS(('Parameter Extraction'!T30-'Parameter Extraction'!T34)/'Parameter Extraction'!T30)</f>
        <v>0.73517733938801155</v>
      </c>
      <c r="V4" s="220">
        <f>ABS(('Parameter Extraction'!T41-'Parameter Extraction'!T45)/'Parameter Extraction'!T41)</f>
        <v>0.47697755759924376</v>
      </c>
      <c r="W4" s="221">
        <f>ABS(('Parameter Extraction'!T52-'Parameter Extraction'!T56)/'Parameter Extraction'!T52)</f>
        <v>0.62449314156783442</v>
      </c>
    </row>
    <row r="5" spans="2:31" x14ac:dyDescent="0.2">
      <c r="E5" s="191"/>
      <c r="F5" s="43"/>
      <c r="G5" s="43" t="s">
        <v>0</v>
      </c>
      <c r="H5" s="43" t="s">
        <v>66</v>
      </c>
      <c r="I5" s="44" t="s">
        <v>67</v>
      </c>
      <c r="J5" s="22"/>
      <c r="K5" s="229"/>
      <c r="L5" s="157" t="s">
        <v>14</v>
      </c>
      <c r="M5" s="158">
        <f>'Parameter Extraction'!G7*Summary!$B$3</f>
        <v>-1897.4841132795427</v>
      </c>
      <c r="N5" s="158">
        <f>'Parameter Extraction'!H7*Summary!$B$3</f>
        <v>-1112.7012236334426</v>
      </c>
      <c r="O5" s="158">
        <f>'Parameter Extraction'!I7*Summary!$B$3</f>
        <v>-1910.5104787804396</v>
      </c>
      <c r="P5" s="158">
        <f>'Parameter Extraction'!J7*Summary!$B$3</f>
        <v>-1190.0414561966165</v>
      </c>
      <c r="Q5" s="159">
        <f>'Parameter Extraction'!K7*Summary!$B$3</f>
        <v>-1704.7177551283494</v>
      </c>
      <c r="S5" s="139" t="s">
        <v>25</v>
      </c>
      <c r="T5" s="220">
        <f>ABS('Parameter Extraction'!T24-'Parameter Extraction'!T20)/'Parameter Extraction'!T20</f>
        <v>0.37944059944170083</v>
      </c>
      <c r="U5" s="220">
        <f>ABS('Parameter Extraction'!T31-'Parameter Extraction'!T35)/'Parameter Extraction'!T31</f>
        <v>8.7547220843738532E-2</v>
      </c>
      <c r="V5" s="220">
        <f>ABS('Parameter Extraction'!T42-'Parameter Extraction'!T46)/'Parameter Extraction'!T42</f>
        <v>0.421515878876696</v>
      </c>
      <c r="W5" s="221">
        <f>ABS('Parameter Extraction'!T53-'Parameter Extraction'!T57)/'Parameter Extraction'!T53</f>
        <v>0.12541245100820783</v>
      </c>
      <c r="X5" s="98"/>
    </row>
    <row r="6" spans="2:31" x14ac:dyDescent="0.2">
      <c r="E6" s="228" t="s">
        <v>62</v>
      </c>
      <c r="F6" s="154" t="s">
        <v>12</v>
      </c>
      <c r="G6" s="102">
        <f>'Parameter Extraction (Guihery)'!G5</f>
        <v>9737</v>
      </c>
      <c r="H6" s="102">
        <f>'Parameter Extraction (Guihery)'!H5</f>
        <v>7972</v>
      </c>
      <c r="I6" s="103">
        <f>'Parameter Extraction (Guihery)'!I5</f>
        <v>8239</v>
      </c>
      <c r="J6" s="22"/>
      <c r="K6" s="208" t="s">
        <v>63</v>
      </c>
      <c r="L6" s="22" t="s">
        <v>12</v>
      </c>
      <c r="M6" s="116">
        <f>M4</f>
        <v>9115.419534908393</v>
      </c>
      <c r="N6" s="116">
        <f t="shared" ref="N6:Q6" si="0">N4</f>
        <v>5556.948796370375</v>
      </c>
      <c r="O6" s="116">
        <f t="shared" si="0"/>
        <v>8968.2503686585733</v>
      </c>
      <c r="P6" s="116">
        <f t="shared" si="0"/>
        <v>5830.0696590310963</v>
      </c>
      <c r="Q6" s="117">
        <f t="shared" si="0"/>
        <v>7481.1101977503768</v>
      </c>
      <c r="S6" s="139" t="s">
        <v>37</v>
      </c>
      <c r="T6" s="218">
        <f>AVERAGE(T4:T5)</f>
        <v>0.45950979614340759</v>
      </c>
      <c r="U6" s="218">
        <f t="shared" ref="U6:W6" si="1">AVERAGE(U4:U5)</f>
        <v>0.41136228011587506</v>
      </c>
      <c r="V6" s="218">
        <f t="shared" si="1"/>
        <v>0.44924671823796991</v>
      </c>
      <c r="W6" s="219">
        <f t="shared" si="1"/>
        <v>0.37495279628802114</v>
      </c>
    </row>
    <row r="7" spans="2:31" x14ac:dyDescent="0.2">
      <c r="E7" s="229"/>
      <c r="F7" s="157" t="s">
        <v>14</v>
      </c>
      <c r="G7" s="203">
        <f>'Parameter Extraction (Guihery)'!G8</f>
        <v>-2636.6000000000004</v>
      </c>
      <c r="H7" s="203">
        <f>'Parameter Extraction (Guihery)'!H8</f>
        <v>-2249.6</v>
      </c>
      <c r="I7" s="204">
        <f>'Parameter Extraction (Guihery)'!I8</f>
        <v>-2513</v>
      </c>
      <c r="J7" s="22"/>
      <c r="K7" s="208"/>
      <c r="L7" s="22" t="s">
        <v>44</v>
      </c>
      <c r="M7" s="116">
        <f>'Parameter Extraction'!G18*Summary!$B$3</f>
        <v>-1369.6615493390534</v>
      </c>
      <c r="N7" s="116">
        <f>'Parameter Extraction'!H18*Summary!$B$3</f>
        <v>-885.0394743064835</v>
      </c>
      <c r="O7" s="116">
        <f>'Parameter Extraction'!I18*Summary!$B$3</f>
        <v>-1386.1830405800981</v>
      </c>
      <c r="P7" s="116">
        <f>'Parameter Extraction'!J18*Summary!$B$3</f>
        <v>-933.04016605900222</v>
      </c>
      <c r="Q7" s="117">
        <f>'Parameter Extraction'!K18*Summary!$B$3</f>
        <v>-1353.2648240657311</v>
      </c>
      <c r="S7" s="139" t="s">
        <v>26</v>
      </c>
      <c r="T7" s="220">
        <f>ABS(('Parameter Extraction'!T19-'Parameter Extraction'!T25)/'Parameter Extraction'!T19)</f>
        <v>0.89279921958176867</v>
      </c>
      <c r="U7" s="220">
        <f>ABS(('Parameter Extraction'!T30-'Parameter Extraction'!T36)/'Parameter Extraction'!T30)</f>
        <v>0.99157169671480694</v>
      </c>
      <c r="V7" s="220">
        <f>ABS(('Parameter Extraction'!T41-'Parameter Extraction'!T47)/'Parameter Extraction'!T41)</f>
        <v>0.7854759050584198</v>
      </c>
      <c r="W7" s="221">
        <f>ABS(('Parameter Extraction'!T52-'Parameter Extraction'!T58)/'Parameter Extraction'!T52)</f>
        <v>0.87196577051295399</v>
      </c>
      <c r="X7" s="98"/>
    </row>
    <row r="8" spans="2:31" ht="17" thickBot="1" x14ac:dyDescent="0.25">
      <c r="E8" s="208" t="s">
        <v>63</v>
      </c>
      <c r="F8" s="22" t="s">
        <v>12</v>
      </c>
      <c r="G8" s="102">
        <f>'Parameter Extraction (Guihery)'!G13</f>
        <v>9737</v>
      </c>
      <c r="H8" s="102">
        <f>'Parameter Extraction (Guihery)'!H13</f>
        <v>7972</v>
      </c>
      <c r="I8" s="103">
        <f>'Parameter Extraction (Guihery)'!I13</f>
        <v>8239</v>
      </c>
      <c r="J8" s="202"/>
      <c r="K8" s="230"/>
      <c r="L8" s="152" t="s">
        <v>20</v>
      </c>
      <c r="M8" s="120">
        <f>'Parameter Extraction'!G19*Summary!$B$3</f>
        <v>21507.860511468498</v>
      </c>
      <c r="N8" s="120">
        <f>'Parameter Extraction'!H19*Summary!$B$3</f>
        <v>22161.04787917405</v>
      </c>
      <c r="O8" s="120">
        <f>'Parameter Extraction'!I19*Summary!$B$3</f>
        <v>20820.422625839965</v>
      </c>
      <c r="P8" s="120">
        <f>'Parameter Extraction'!J19*Summary!$B$3</f>
        <v>20974.075463556892</v>
      </c>
      <c r="Q8" s="119">
        <f>'Parameter Extraction'!K19*Summary!$B$3</f>
        <v>24534.113010203091</v>
      </c>
      <c r="S8" s="139" t="s">
        <v>27</v>
      </c>
      <c r="T8" s="220">
        <f>ABS('Parameter Extraction'!T20-'Parameter Extraction'!T26)/'Parameter Extraction'!T20</f>
        <v>0.14120177642586973</v>
      </c>
      <c r="U8" s="220">
        <f>ABS('Parameter Extraction'!T31-'Parameter Extraction'!T37)/'Parameter Extraction'!T31</f>
        <v>8.6277713696508121E-2</v>
      </c>
      <c r="V8" s="220">
        <f>ABS('Parameter Extraction'!T42-'Parameter Extraction'!T48)/'Parameter Extraction'!T42</f>
        <v>0.14892948172522152</v>
      </c>
      <c r="W8" s="221">
        <f>ABS('Parameter Extraction'!T53-'Parameter Extraction'!T59)/'Parameter Extraction'!T53</f>
        <v>9.3983341496283498E-2</v>
      </c>
    </row>
    <row r="9" spans="2:31" ht="17" thickBot="1" x14ac:dyDescent="0.25">
      <c r="E9" s="208"/>
      <c r="F9" s="22" t="s">
        <v>44</v>
      </c>
      <c r="G9" s="202">
        <f>'Parameter Extraction (Guihery)'!G28</f>
        <v>-1007</v>
      </c>
      <c r="H9" s="202">
        <f>'Parameter Extraction (Guihery)'!H28</f>
        <v>-1293</v>
      </c>
      <c r="I9" s="205">
        <f>'Parameter Extraction (Guihery)'!I28</f>
        <v>-1533</v>
      </c>
      <c r="S9" s="140" t="s">
        <v>38</v>
      </c>
      <c r="T9" s="225">
        <f>AVERAGE(T7:T8)</f>
        <v>0.5170004980038192</v>
      </c>
      <c r="U9" s="225">
        <f t="shared" ref="U9:W9" si="2">AVERAGE(U7:U8)</f>
        <v>0.53892470520565749</v>
      </c>
      <c r="V9" s="225">
        <f t="shared" si="2"/>
        <v>0.46720269339182063</v>
      </c>
      <c r="W9" s="226">
        <f t="shared" si="2"/>
        <v>0.48297455600461875</v>
      </c>
    </row>
    <row r="10" spans="2:31" ht="17" thickBot="1" x14ac:dyDescent="0.25">
      <c r="E10" s="230"/>
      <c r="F10" s="152" t="s">
        <v>20</v>
      </c>
      <c r="G10" s="152">
        <f>'Parameter Extraction (Guihery)'!G29</f>
        <v>15523</v>
      </c>
      <c r="H10" s="152">
        <f>'Parameter Extraction (Guihery)'!H29</f>
        <v>19433</v>
      </c>
      <c r="I10" s="212">
        <f>'Parameter Extraction (Guihery)'!I29</f>
        <v>21296</v>
      </c>
      <c r="T10" s="99"/>
      <c r="U10" s="99"/>
      <c r="V10" s="99"/>
      <c r="W10" s="99"/>
      <c r="Y10" s="129"/>
    </row>
    <row r="11" spans="2:31" ht="17" thickBot="1" x14ac:dyDescent="0.25">
      <c r="E11" s="211"/>
      <c r="F11" s="202"/>
      <c r="G11" s="202"/>
      <c r="H11" s="202"/>
      <c r="I11" s="205"/>
      <c r="S11" s="239" t="s">
        <v>82</v>
      </c>
      <c r="T11" s="244"/>
      <c r="U11" s="244"/>
      <c r="V11" s="244"/>
      <c r="W11" s="240"/>
      <c r="Y11" s="227"/>
      <c r="Z11" s="227"/>
      <c r="AA11" s="227"/>
      <c r="AB11" s="227"/>
      <c r="AC11" s="227"/>
    </row>
    <row r="12" spans="2:31" ht="17" thickBot="1" x14ac:dyDescent="0.25">
      <c r="E12" s="261" t="s">
        <v>84</v>
      </c>
      <c r="F12" s="253"/>
      <c r="G12" s="253"/>
      <c r="H12" s="253"/>
      <c r="I12" s="254"/>
      <c r="S12" s="214"/>
      <c r="T12" s="43" t="s">
        <v>0</v>
      </c>
      <c r="U12" s="43" t="s">
        <v>57</v>
      </c>
      <c r="V12" s="43" t="s">
        <v>58</v>
      </c>
      <c r="W12" s="44" t="s">
        <v>59</v>
      </c>
      <c r="Z12" s="148"/>
      <c r="AA12" s="148"/>
      <c r="AB12" s="148"/>
      <c r="AC12" s="148"/>
    </row>
    <row r="13" spans="2:31" ht="17" thickBot="1" x14ac:dyDescent="0.25">
      <c r="E13" s="214"/>
      <c r="F13" s="215"/>
      <c r="G13" s="43" t="s">
        <v>0</v>
      </c>
      <c r="H13" s="43" t="s">
        <v>66</v>
      </c>
      <c r="I13" s="44" t="s">
        <v>67</v>
      </c>
      <c r="S13" s="234" t="s">
        <v>24</v>
      </c>
      <c r="T13" s="237">
        <f>ABS(('Parameter Extraction'!T19-'Parameter Extraction'!T23)/('Parameter Extraction'!N20-'Parameter Extraction'!Q19))</f>
        <v>2.6598029136943615E-2</v>
      </c>
      <c r="U13" s="237">
        <f>ABS(('Parameter Extraction'!T30-'Parameter Extraction'!T34)/('Parameter Extraction'!N31-'Parameter Extraction'!Q30))</f>
        <v>2.6250686160508407E-2</v>
      </c>
      <c r="V13" s="237">
        <f>ABS(('Parameter Extraction'!T41-'Parameter Extraction'!T45)/('Parameter Extraction'!N42-'Parameter Extraction'!Q41))</f>
        <v>2.7232643272999187E-2</v>
      </c>
      <c r="W13" s="238">
        <f>ABS(('Parameter Extraction'!T52-'Parameter Extraction'!T56)/('Parameter Extraction'!N53-'Parameter Extraction'!Q52))</f>
        <v>2.6455928948392281E-2</v>
      </c>
      <c r="Z13" s="98"/>
      <c r="AA13" s="98"/>
      <c r="AB13" s="98"/>
      <c r="AC13" s="98"/>
      <c r="AD13" s="98"/>
      <c r="AE13" s="98"/>
    </row>
    <row r="14" spans="2:31" x14ac:dyDescent="0.2">
      <c r="E14" s="231" t="s">
        <v>24</v>
      </c>
      <c r="F14" s="147"/>
      <c r="G14" s="216">
        <f>ABS('Parameter Extraction (Guihery)'!R28-'Parameter Extraction (Guihery)'!R32)/('Parameter Extraction (Guihery)'!L29-'Parameter Extraction (Guihery)'!O28)</f>
        <v>0.1656845309621085</v>
      </c>
      <c r="H14" s="216">
        <f>ABS('Parameter Extraction (Guihery)'!R41-'Parameter Extraction (Guihery)'!R45)/('Parameter Extraction (Guihery)'!L42-'Parameter Extraction (Guihery)'!O41)</f>
        <v>0.10729212174166304</v>
      </c>
      <c r="I14" s="217">
        <f>ABS('Parameter Extraction (Guihery)'!R54-'Parameter Extraction (Guihery)'!R58)/('Parameter Extraction (Guihery)'!L55-'Parameter Extraction (Guihery)'!O54)</f>
        <v>0.11909256330459324</v>
      </c>
      <c r="S14" s="234" t="s">
        <v>25</v>
      </c>
      <c r="T14" s="237">
        <f>ABS('Parameter Extraction'!T24-'Parameter Extraction'!T20)/('Parameter Extraction'!N20-'Parameter Extraction'!Q19)</f>
        <v>6.2971288966587588E-2</v>
      </c>
      <c r="U14" s="237">
        <f>ABS('Parameter Extraction'!T31-'Parameter Extraction'!T35)/('Parameter Extraction'!N31-'Parameter Extraction'!Q30)</f>
        <v>1.977485112884781E-2</v>
      </c>
      <c r="V14" s="237">
        <f>ABS('Parameter Extraction'!T42-'Parameter Extraction'!T46)/('Parameter Extraction'!N42-'Parameter Extraction'!Q41)</f>
        <v>6.488212182001396E-2</v>
      </c>
      <c r="W14" s="238">
        <f>ABS('Parameter Extraction'!T53-'Parameter Extraction'!T57)/('Parameter Extraction'!N53-'Parameter Extraction'!Q52)</f>
        <v>2.6456928632955047E-2</v>
      </c>
      <c r="Z14" s="98"/>
      <c r="AA14" s="98"/>
      <c r="AB14" s="98"/>
      <c r="AC14" s="98"/>
      <c r="AD14" s="98"/>
      <c r="AE14" s="98"/>
    </row>
    <row r="15" spans="2:31" x14ac:dyDescent="0.2">
      <c r="E15" s="139" t="s">
        <v>25</v>
      </c>
      <c r="F15" s="22"/>
      <c r="G15" s="218">
        <f>ABS('Parameter Extraction (Guihery)'!R29-'Parameter Extraction (Guihery)'!R33)/('Parameter Extraction (Guihery)'!L29-'Parameter Extraction (Guihery)'!O28)</f>
        <v>3.8679804534166563E-2</v>
      </c>
      <c r="H15" s="218">
        <f>ABS('Parameter Extraction (Guihery)'!R42-'Parameter Extraction (Guihery)'!R46)/('Parameter Extraction (Guihery)'!L42-'Parameter Extraction (Guihery)'!O41)</f>
        <v>3.1185379350516962E-2</v>
      </c>
      <c r="I15" s="219">
        <f>ABS('Parameter Extraction (Guihery)'!R55-'Parameter Extraction (Guihery)'!R59)/('Parameter Extraction (Guihery)'!L55-'Parameter Extraction (Guihery)'!O54)</f>
        <v>3.7430063092019128E-2</v>
      </c>
      <c r="S15" s="234" t="s">
        <v>37</v>
      </c>
      <c r="T15" s="218">
        <f>AVERAGE(T13:T14)</f>
        <v>4.4784659051765603E-2</v>
      </c>
      <c r="U15" s="218">
        <f t="shared" ref="U15:W15" si="3">AVERAGE(U13:U14)</f>
        <v>2.3012768644678109E-2</v>
      </c>
      <c r="V15" s="218">
        <f t="shared" si="3"/>
        <v>4.605738254650657E-2</v>
      </c>
      <c r="W15" s="219">
        <f t="shared" si="3"/>
        <v>2.6456428790673663E-2</v>
      </c>
      <c r="Z15" s="99"/>
      <c r="AA15" s="99"/>
      <c r="AB15" s="99"/>
      <c r="AC15" s="99"/>
      <c r="AD15" s="99"/>
      <c r="AE15" s="99"/>
    </row>
    <row r="16" spans="2:31" x14ac:dyDescent="0.2">
      <c r="E16" s="232" t="s">
        <v>80</v>
      </c>
      <c r="F16" s="157"/>
      <c r="G16" s="223">
        <f>AVERAGE(G14:G15)</f>
        <v>0.10218216774813753</v>
      </c>
      <c r="H16" s="223">
        <f>AVERAGE(H14:H15)</f>
        <v>6.9238750546089994E-2</v>
      </c>
      <c r="I16" s="224">
        <f>AVERAGE(I14:I15)</f>
        <v>7.8261313198306176E-2</v>
      </c>
      <c r="S16" s="234" t="s">
        <v>26</v>
      </c>
      <c r="T16" s="237">
        <f>ABS(('Parameter Extraction'!T19-'Parameter Extraction'!T25)/('Parameter Extraction'!N20-'Parameter Extraction'!Q19))</f>
        <v>4.4009681567964365E-2</v>
      </c>
      <c r="U16" s="237">
        <f>ABS(('Parameter Extraction'!T30-'Parameter Extraction'!T36)/('Parameter Extraction'!N31-'Parameter Extraction'!Q30))</f>
        <v>3.5405657956991812E-2</v>
      </c>
      <c r="V16" s="237">
        <f>ABS(('Parameter Extraction'!T41-'Parameter Extraction'!T47)/('Parameter Extraction'!N42-'Parameter Extraction'!Q41))</f>
        <v>4.4846103933394027E-2</v>
      </c>
      <c r="W16" s="238">
        <f>ABS(('Parameter Extraction'!T52-'Parameter Extraction'!T58)/('Parameter Extraction'!N53-'Parameter Extraction'!Q52))</f>
        <v>3.6939820367290689E-2</v>
      </c>
      <c r="Z16" s="98"/>
      <c r="AA16" s="98"/>
      <c r="AB16" s="98"/>
      <c r="AC16" s="98"/>
      <c r="AD16" s="98"/>
    </row>
    <row r="17" spans="5:31" x14ac:dyDescent="0.2">
      <c r="E17" s="139" t="s">
        <v>26</v>
      </c>
      <c r="F17" s="22"/>
      <c r="G17" s="218">
        <f>ABS('Parameter Extraction (Guihery)'!R28-'Parameter Extraction (Guihery)'!R36)/('Parameter Extraction (Guihery)'!L29-'Parameter Extraction (Guihery)'!O28)</f>
        <v>1.2228689193410365E-2</v>
      </c>
      <c r="H17" s="218">
        <f>ABS('Parameter Extraction (Guihery)'!R41-'Parameter Extraction (Guihery)'!R49)/('Parameter Extraction (Guihery)'!L42-'Parameter Extraction (Guihery)'!O41)</f>
        <v>1.3225012757887853E-2</v>
      </c>
      <c r="I17" s="219">
        <f>ABS('Parameter Extraction (Guihery)'!R54-'Parameter Extraction (Guihery)'!R62)/('Parameter Extraction (Guihery)'!L55-'Parameter Extraction (Guihery)'!O54)</f>
        <v>2.5700920543296465E-2</v>
      </c>
      <c r="S17" s="234" t="s">
        <v>27</v>
      </c>
      <c r="T17" s="237">
        <f>ABS('Parameter Extraction'!T20-'Parameter Extraction'!T26)/('Parameter Extraction'!N20-'Parameter Extraction'!Q19)</f>
        <v>2.3433596402155948E-2</v>
      </c>
      <c r="U17" s="237">
        <f>ABS('Parameter Extraction'!T31-'Parameter Extraction'!T37)/('Parameter Extraction'!N31-'Parameter Extraction'!Q30)</f>
        <v>1.9488099423864532E-2</v>
      </c>
      <c r="V17" s="237">
        <f>ABS('Parameter Extraction'!T42-'Parameter Extraction'!T48)/('Parameter Extraction'!N42-'Parameter Extraction'!Q41)</f>
        <v>2.2924072994920306E-2</v>
      </c>
      <c r="W17" s="238">
        <f>ABS('Parameter Extraction'!T53-'Parameter Extraction'!T59)/('Parameter Extraction'!N53-'Parameter Extraction'!Q52)</f>
        <v>1.9826664247962759E-2</v>
      </c>
      <c r="Z17" s="98"/>
      <c r="AA17" s="98"/>
      <c r="AB17" s="98"/>
      <c r="AC17" s="98"/>
      <c r="AD17" s="98"/>
    </row>
    <row r="18" spans="5:31" ht="17" thickBot="1" x14ac:dyDescent="0.25">
      <c r="E18" s="139" t="s">
        <v>27</v>
      </c>
      <c r="F18" s="202"/>
      <c r="G18" s="218">
        <f>ABS('Parameter Extraction (Guihery)'!R29-'Parameter Extraction (Guihery)'!R37)/('Parameter Extraction (Guihery)'!L29-'Parameter Extraction (Guihery)'!O28)</f>
        <v>5.8489092231926051E-5</v>
      </c>
      <c r="H18" s="218">
        <f>ABS('Parameter Extraction (Guihery)'!R42-'Parameter Extraction (Guihery)'!R50)/('Parameter Extraction (Guihery)'!L42-'Parameter Extraction (Guihery)'!O41)</f>
        <v>1.7398115659164899E-4</v>
      </c>
      <c r="I18" s="219">
        <f>ABS('Parameter Extraction (Guihery)'!R55-'Parameter Extraction (Guihery)'!R63)/('Parameter Extraction (Guihery)'!L55-'Parameter Extraction (Guihery)'!O54)</f>
        <v>3.8808945401587003E-4</v>
      </c>
      <c r="S18" s="235" t="s">
        <v>38</v>
      </c>
      <c r="T18" s="225">
        <f>AVERAGE(T16:T17)</f>
        <v>3.3721638985060157E-2</v>
      </c>
      <c r="U18" s="225">
        <f t="shared" ref="U18:W18" si="4">AVERAGE(U16:U17)</f>
        <v>2.7446878690428174E-2</v>
      </c>
      <c r="V18" s="225">
        <f t="shared" si="4"/>
        <v>3.3885088464157165E-2</v>
      </c>
      <c r="W18" s="226">
        <f t="shared" si="4"/>
        <v>2.8383242307626726E-2</v>
      </c>
      <c r="Z18" s="99"/>
      <c r="AA18" s="99"/>
      <c r="AB18" s="99"/>
      <c r="AC18" s="99"/>
      <c r="AD18" s="99"/>
      <c r="AE18" s="99"/>
    </row>
    <row r="19" spans="5:31" ht="17" thickBot="1" x14ac:dyDescent="0.25">
      <c r="E19" s="140" t="s">
        <v>80</v>
      </c>
      <c r="F19" s="152"/>
      <c r="G19" s="225">
        <f>AVERAGE(G17:G18)</f>
        <v>6.1435891428211452E-3</v>
      </c>
      <c r="H19" s="225">
        <f>AVERAGE(H17:H18)</f>
        <v>6.6994969572397511E-3</v>
      </c>
      <c r="I19" s="226">
        <f>AVERAGE(I17:I18)</f>
        <v>1.3044504998656168E-2</v>
      </c>
      <c r="T19" s="99"/>
      <c r="U19" s="99"/>
      <c r="V19" s="99"/>
      <c r="W19" s="99"/>
    </row>
    <row r="20" spans="5:31" ht="17" thickBot="1" x14ac:dyDescent="0.25">
      <c r="E20" s="135"/>
      <c r="F20" s="209"/>
      <c r="G20" s="209"/>
      <c r="H20" s="209"/>
      <c r="I20" s="210"/>
      <c r="S20" s="239" t="s">
        <v>83</v>
      </c>
      <c r="T20" s="244"/>
      <c r="U20" s="244"/>
      <c r="V20" s="240"/>
    </row>
    <row r="21" spans="5:31" ht="17" thickBot="1" x14ac:dyDescent="0.25">
      <c r="E21" s="258" t="s">
        <v>79</v>
      </c>
      <c r="F21" s="259"/>
      <c r="G21" s="259"/>
      <c r="H21" s="259"/>
      <c r="I21" s="260"/>
      <c r="S21" s="236"/>
      <c r="T21" s="43" t="s">
        <v>0</v>
      </c>
      <c r="U21" s="43" t="s">
        <v>57</v>
      </c>
      <c r="V21" s="44" t="s">
        <v>58</v>
      </c>
      <c r="W21" s="227"/>
    </row>
    <row r="22" spans="5:31" ht="17" thickBot="1" x14ac:dyDescent="0.25">
      <c r="E22" s="214"/>
      <c r="F22" s="215"/>
      <c r="G22" s="43" t="s">
        <v>0</v>
      </c>
      <c r="H22" s="43" t="s">
        <v>66</v>
      </c>
      <c r="I22" s="44" t="s">
        <v>67</v>
      </c>
      <c r="S22" s="139" t="s">
        <v>39</v>
      </c>
      <c r="T22" s="220">
        <f>ABS(('Parameter Extraction'!N20-'Parameter Extraction'!N53)/('Parameter Extraction'!N53-'Parameter Extraction'!Q52))</f>
        <v>0.51770867952968291</v>
      </c>
      <c r="U22" s="220">
        <f>ABS(('Parameter Extraction'!N31-'Parameter Extraction'!N53)/('Parameter Extraction'!N53-'Parameter Extraction'!Q52))</f>
        <v>4.3038655395061166E-2</v>
      </c>
      <c r="V22" s="221">
        <f>ABS(('Parameter Extraction'!N42-'Parameter Extraction'!N53)/('Parameter Extraction'!N53-'Parameter Extraction'!Q52))</f>
        <v>0.49451761690158685</v>
      </c>
      <c r="W22" s="148"/>
    </row>
    <row r="23" spans="5:31" x14ac:dyDescent="0.2">
      <c r="E23" s="233" t="s">
        <v>62</v>
      </c>
      <c r="F23" s="147" t="s">
        <v>12</v>
      </c>
      <c r="G23" s="206">
        <f>'Parameter Extraction (Guihery)'!G5</f>
        <v>9737</v>
      </c>
      <c r="H23" s="206">
        <f>'Parameter Extraction (Guihery)'!H5</f>
        <v>7972</v>
      </c>
      <c r="I23" s="207">
        <f>'Parameter Extraction (Guihery)'!I5</f>
        <v>8239</v>
      </c>
      <c r="S23" s="139" t="s">
        <v>40</v>
      </c>
      <c r="T23" s="220">
        <f>ABS(('Parameter Extraction'!Q19-'Parameter Extraction'!Q52)/('Parameter Extraction'!N53-'Parameter Extraction'!Q52))</f>
        <v>5.3064611192921385E-2</v>
      </c>
      <c r="U23" s="220">
        <f>ABS(('Parameter Extraction'!Q30-'Parameter Extraction'!Q52)/('Parameter Extraction'!N53-'Parameter Extraction'!Q52))</f>
        <v>8.0610785966124046E-3</v>
      </c>
      <c r="V23" s="221">
        <f>ABS(('Parameter Extraction'!Q41-'Parameter Extraction'!Q52)/('Parameter Extraction'!N53-'Parameter Extraction'!Q52))</f>
        <v>5.949567273051385E-2</v>
      </c>
      <c r="W23" s="148"/>
    </row>
    <row r="24" spans="5:31" x14ac:dyDescent="0.2">
      <c r="E24" s="229"/>
      <c r="F24" s="157" t="s">
        <v>14</v>
      </c>
      <c r="G24" s="203">
        <f>'Parameter Extraction (Guihery)'!G7</f>
        <v>-1830.6666666666665</v>
      </c>
      <c r="H24" s="203">
        <f>'Parameter Extraction (Guihery)'!H7</f>
        <v>-2010.1333333333337</v>
      </c>
      <c r="I24" s="204">
        <f>'Parameter Extraction (Guihery)'!I7</f>
        <v>-2347.7333333333336</v>
      </c>
      <c r="S24" s="139" t="s">
        <v>41</v>
      </c>
      <c r="T24" s="220">
        <f>ABS(('Parameter Extraction'!Q20-'Parameter Extraction'!Q53)/('Parameter Extraction'!N53-'Parameter Extraction'!Q52))</f>
        <v>0.16661634091374822</v>
      </c>
      <c r="U24" s="220">
        <f>ABS(('Parameter Extraction'!Q31-'Parameter Extraction'!Q53)/('Parameter Extraction'!N53-'Parameter Extraction'!Q52))</f>
        <v>9.1941691488604069E-3</v>
      </c>
      <c r="V24" s="221">
        <f>ABS(('Parameter Extraction'!Q42-'Parameter Extraction'!Q53)/('Parameter Extraction'!N53-'Parameter Extraction'!Q52))</f>
        <v>0.1426804781092828</v>
      </c>
      <c r="W24" s="148"/>
    </row>
    <row r="25" spans="5:31" x14ac:dyDescent="0.2">
      <c r="E25" s="208" t="s">
        <v>63</v>
      </c>
      <c r="F25" s="22" t="s">
        <v>12</v>
      </c>
      <c r="G25" s="102">
        <f>'Parameter Extraction (Guihery)'!G13</f>
        <v>9737</v>
      </c>
      <c r="H25" s="102">
        <f>'Parameter Extraction (Guihery)'!H13</f>
        <v>7972</v>
      </c>
      <c r="I25" s="103">
        <f>'Parameter Extraction (Guihery)'!I13</f>
        <v>8239</v>
      </c>
      <c r="S25" s="139" t="s">
        <v>42</v>
      </c>
      <c r="T25" s="220">
        <f>ABS(('Parameter Extraction'!T19-'Parameter Extraction'!T52)/('Parameter Extraction'!N53-'Parameter Extraction'!Q52))</f>
        <v>3.5065921134248335E-2</v>
      </c>
      <c r="U25" s="220">
        <f>ABS(('Parameter Extraction'!T30-'Parameter Extraction'!T52)/('Parameter Extraction'!N53-'Parameter Extraction'!Q52))</f>
        <v>8.4818361937909724E-3</v>
      </c>
      <c r="V25" s="221">
        <f>ABS(('Parameter Extraction'!T41-'Parameter Extraction'!T52)/('Parameter Extraction'!N53-'Parameter Extraction'!Q52))</f>
        <v>4.6361274632390898E-2</v>
      </c>
      <c r="W25" s="148"/>
    </row>
    <row r="26" spans="5:31" x14ac:dyDescent="0.2">
      <c r="E26" s="208"/>
      <c r="F26" s="22" t="s">
        <v>44</v>
      </c>
      <c r="G26" s="116">
        <f>'Parameter Extraction (Guihery)'!G19</f>
        <v>-1154.1390374054643</v>
      </c>
      <c r="H26" s="116">
        <f>'Parameter Extraction (Guihery)'!H19</f>
        <v>-1621.5036441900929</v>
      </c>
      <c r="I26" s="117">
        <f>'Parameter Extraction (Guihery)'!I19</f>
        <v>-2000.0466565909392</v>
      </c>
      <c r="S26" s="139" t="s">
        <v>43</v>
      </c>
      <c r="T26" s="220">
        <f>ABS(('Parameter Extraction'!T20-'Parameter Extraction'!T53)/('Parameter Extraction'!N53-'Parameter Extraction'!Q52))</f>
        <v>4.9723403745063247E-2</v>
      </c>
      <c r="U26" s="220">
        <f>ABS(('Parameter Extraction'!T31-'Parameter Extraction'!T53)/('Parameter Extraction'!N53-'Parameter Extraction'!Q52))</f>
        <v>3.3748307330716478E-3</v>
      </c>
      <c r="V26" s="221">
        <f>ABS(('Parameter Extraction'!T42-'Parameter Extraction'!T53)/('Parameter Extraction'!N53-'Parameter Extraction'!Q52))</f>
        <v>2.8243219456937113E-2</v>
      </c>
      <c r="W26" s="148"/>
    </row>
    <row r="27" spans="5:31" ht="17" thickBot="1" x14ac:dyDescent="0.25">
      <c r="E27" s="230"/>
      <c r="F27" s="152" t="s">
        <v>20</v>
      </c>
      <c r="G27" s="120">
        <f>'Parameter Extraction (Guihery)'!G20</f>
        <v>16468.441871790361</v>
      </c>
      <c r="H27" s="120">
        <f>'Parameter Extraction (Guihery)'!H20</f>
        <v>24739.162323888027</v>
      </c>
      <c r="I27" s="119">
        <f>'Parameter Extraction (Guihery)'!I20</f>
        <v>31531.361401336053</v>
      </c>
      <c r="S27" s="140" t="s">
        <v>80</v>
      </c>
      <c r="T27" s="225">
        <f>AVERAGE(T22:T26)</f>
        <v>0.16443579130313282</v>
      </c>
      <c r="U27" s="225">
        <f>AVERAGE(U22:U26)</f>
        <v>1.4430114013479319E-2</v>
      </c>
      <c r="V27" s="226">
        <f>AVERAGE(V22:V26)</f>
        <v>0.15425965236614231</v>
      </c>
      <c r="W27" s="148"/>
    </row>
    <row r="28" spans="5:31" ht="17" thickBot="1" x14ac:dyDescent="0.25">
      <c r="E28" s="135"/>
      <c r="F28" s="213"/>
      <c r="G28" s="213"/>
      <c r="H28" s="213"/>
      <c r="I28" s="136"/>
      <c r="W28" s="148"/>
    </row>
    <row r="29" spans="5:31" ht="17" thickBot="1" x14ac:dyDescent="0.25">
      <c r="E29" s="261" t="s">
        <v>85</v>
      </c>
      <c r="F29" s="253"/>
      <c r="G29" s="253"/>
      <c r="H29" s="253"/>
      <c r="I29" s="254"/>
    </row>
    <row r="30" spans="5:31" x14ac:dyDescent="0.2">
      <c r="E30" s="214"/>
      <c r="F30" s="215"/>
      <c r="G30" s="43" t="s">
        <v>0</v>
      </c>
      <c r="H30" s="43" t="s">
        <v>66</v>
      </c>
      <c r="I30" s="44" t="s">
        <v>67</v>
      </c>
    </row>
    <row r="31" spans="5:31" x14ac:dyDescent="0.2">
      <c r="E31" s="139" t="s">
        <v>24</v>
      </c>
      <c r="F31" s="1"/>
      <c r="G31" s="220">
        <f>ABS('Parameter Extraction (Guihery)'!R28-'Parameter Extraction (Guihery)'!R30)/('Parameter Extraction (Guihery)'!L29-'Parameter Extraction (Guihery)'!O28)</f>
        <v>0.16576143555235118</v>
      </c>
      <c r="H31" s="220">
        <f>ABS('Parameter Extraction (Guihery)'!R41-'Parameter Extraction (Guihery)'!R43)/('Parameter Extraction (Guihery)'!L42-'Parameter Extraction (Guihery)'!O41)</f>
        <v>5.4983981360128255E-2</v>
      </c>
      <c r="I31" s="221">
        <f>ABS('Parameter Extraction (Guihery)'!R54-'Parameter Extraction (Guihery)'!R56)/('Parameter Extraction (Guihery)'!L55-'Parameter Extraction (Guihery)'!O54)</f>
        <v>8.5366392871112001E-2</v>
      </c>
    </row>
    <row r="32" spans="5:31" x14ac:dyDescent="0.2">
      <c r="E32" s="139" t="s">
        <v>25</v>
      </c>
      <c r="F32" s="1"/>
      <c r="G32" s="220">
        <f>ABS('Parameter Extraction (Guihery)'!R29-'Parameter Extraction (Guihery)'!R31)/('Parameter Extraction (Guihery)'!L29-'Parameter Extraction (Guihery)'!O28)</f>
        <v>3.8756709124409226E-2</v>
      </c>
      <c r="H32" s="220">
        <f>ABS('Parameter Extraction (Guihery)'!R42-'Parameter Extraction (Guihery)'!R44)/('Parameter Extraction (Guihery)'!L42-'Parameter Extraction (Guihery)'!O41)</f>
        <v>2.1122761031017824E-2</v>
      </c>
      <c r="I32" s="221">
        <f>ABS('Parameter Extraction (Guihery)'!R55-'Parameter Extraction (Guihery)'!R57)/('Parameter Extraction (Guihery)'!L55-'Parameter Extraction (Guihery)'!O54)</f>
        <v>3.7038926585378946E-3</v>
      </c>
    </row>
    <row r="33" spans="5:9" x14ac:dyDescent="0.2">
      <c r="E33" s="232" t="s">
        <v>80</v>
      </c>
      <c r="F33" s="222"/>
      <c r="G33" s="223">
        <f>AVERAGE(G31:G32)</f>
        <v>0.10225907233838021</v>
      </c>
      <c r="H33" s="223">
        <f>AVERAGE(H31:H32)</f>
        <v>3.8053371195573039E-2</v>
      </c>
      <c r="I33" s="224">
        <f>AVERAGE(I31:I32)</f>
        <v>4.4535142764824946E-2</v>
      </c>
    </row>
    <row r="34" spans="5:9" x14ac:dyDescent="0.2">
      <c r="E34" s="139" t="s">
        <v>26</v>
      </c>
      <c r="F34" s="1"/>
      <c r="G34" s="220">
        <f>ABS('Parameter Extraction (Guihery)'!R28-'Parameter Extraction (Guihery)'!R34)/('Parameter Extraction (Guihery)'!L29-'Parameter Extraction (Guihery)'!O28)</f>
        <v>3.53955512943731E-2</v>
      </c>
      <c r="H34" s="220">
        <f>ABS('Parameter Extraction (Guihery)'!R41-'Parameter Extraction (Guihery)'!R47)/('Parameter Extraction (Guihery)'!L42-'Parameter Extraction (Guihery)'!O41)</f>
        <v>6.70164282136059E-2</v>
      </c>
      <c r="I34" s="221">
        <f>ABS('Parameter Extraction (Guihery)'!R54-'Parameter Extraction (Guihery)'!R60)/('Parameter Extraction (Guihery)'!L55-'Parameter Extraction (Guihery)'!O54)</f>
        <v>9.4189002421625284E-2</v>
      </c>
    </row>
    <row r="35" spans="5:9" x14ac:dyDescent="0.2">
      <c r="E35" s="139" t="s">
        <v>27</v>
      </c>
      <c r="F35" s="1"/>
      <c r="G35" s="220">
        <f>ABS('Parameter Extraction (Guihery)'!R29-'Parameter Extraction (Guihery)'!R35)/('Parameter Extraction (Guihery)'!L29-'Parameter Extraction (Guihery)'!O28)</f>
        <v>1.6069454485332584E-2</v>
      </c>
      <c r="H35" s="220">
        <f>ABS('Parameter Extraction (Guihery)'!R42-'Parameter Extraction (Guihery)'!R48)/('Parameter Extraction (Guihery)'!L42-'Parameter Extraction (Guihery)'!O41)</f>
        <v>3.425497447964445E-2</v>
      </c>
      <c r="I35" s="221">
        <f>ABS('Parameter Extraction (Guihery)'!R55-'Parameter Extraction (Guihery)'!R61)/('Parameter Extraction (Guihery)'!L55-'Parameter Extraction (Guihery)'!O54)</f>
        <v>4.1990345017703899E-2</v>
      </c>
    </row>
    <row r="36" spans="5:9" ht="17" thickBot="1" x14ac:dyDescent="0.25">
      <c r="E36" s="140" t="s">
        <v>80</v>
      </c>
      <c r="F36" s="2"/>
      <c r="G36" s="225">
        <f>AVERAGE(G34:G35)</f>
        <v>2.5732502889852842E-2</v>
      </c>
      <c r="H36" s="225">
        <f>AVERAGE(H34:H35)</f>
        <v>5.0635701346625178E-2</v>
      </c>
      <c r="I36" s="226">
        <f>AVERAGE(I34:I35)</f>
        <v>6.8089673719664595E-2</v>
      </c>
    </row>
  </sheetData>
  <mergeCells count="10">
    <mergeCell ref="E29:I29"/>
    <mergeCell ref="E12:I12"/>
    <mergeCell ref="S20:V20"/>
    <mergeCell ref="S2:W2"/>
    <mergeCell ref="S11:W11"/>
    <mergeCell ref="B2:C2"/>
    <mergeCell ref="K2:Q2"/>
    <mergeCell ref="E21:I21"/>
    <mergeCell ref="E4:I4"/>
    <mergeCell ref="E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3"/>
  <sheetViews>
    <sheetView zoomScale="84" workbookViewId="0">
      <selection activeCell="D7" sqref="D7"/>
    </sheetView>
  </sheetViews>
  <sheetFormatPr baseColWidth="10" defaultRowHeight="16" x14ac:dyDescent="0.2"/>
  <cols>
    <col min="1" max="1" width="3" customWidth="1"/>
    <col min="2" max="2" width="11.33203125" bestFit="1" customWidth="1"/>
    <col min="3" max="4" width="11.6640625" bestFit="1" customWidth="1"/>
    <col min="6" max="6" width="19.6640625" style="21" customWidth="1"/>
    <col min="7" max="7" width="11.5" customWidth="1"/>
    <col min="8" max="8" width="15.6640625" customWidth="1"/>
    <col min="9" max="9" width="15.1640625" customWidth="1"/>
    <col min="10" max="10" width="39.5" customWidth="1"/>
    <col min="11" max="11" width="14.6640625" customWidth="1"/>
    <col min="12" max="12" width="11" bestFit="1" customWidth="1"/>
    <col min="13" max="14" width="11.6640625" bestFit="1" customWidth="1"/>
    <col min="15" max="15" width="11" bestFit="1" customWidth="1"/>
    <col min="16" max="17" width="11.6640625" bestFit="1" customWidth="1"/>
    <col min="18" max="20" width="11" bestFit="1" customWidth="1"/>
  </cols>
  <sheetData>
    <row r="1" spans="2:26" ht="17" thickBot="1" x14ac:dyDescent="0.25"/>
    <row r="2" spans="2:26" ht="17" thickBot="1" x14ac:dyDescent="0.25">
      <c r="B2" s="262" t="s">
        <v>65</v>
      </c>
      <c r="C2" s="263"/>
      <c r="D2" s="264"/>
      <c r="F2" s="239" t="s">
        <v>15</v>
      </c>
      <c r="G2" s="244"/>
      <c r="H2" s="244"/>
      <c r="I2" s="240"/>
      <c r="K2" s="239" t="s">
        <v>23</v>
      </c>
      <c r="L2" s="244"/>
      <c r="M2" s="244"/>
      <c r="N2" s="244"/>
      <c r="O2" s="244"/>
      <c r="P2" s="244"/>
      <c r="Q2" s="244"/>
      <c r="R2" s="244"/>
      <c r="S2" s="244"/>
      <c r="T2" s="240"/>
      <c r="U2" s="46"/>
      <c r="V2" s="46"/>
      <c r="W2" s="46"/>
    </row>
    <row r="3" spans="2:26" ht="17" thickBot="1" x14ac:dyDescent="0.25">
      <c r="B3" s="111" t="str">
        <f>'Raw Data'!B3</f>
        <v>S = 5/2</v>
      </c>
      <c r="C3" s="112" t="str">
        <f>'Raw Data'!C3</f>
        <v>S = 3/2</v>
      </c>
      <c r="D3" s="113" t="str">
        <f>'Raw Data'!D3</f>
        <v>S = 1/2</v>
      </c>
      <c r="F3" s="42"/>
      <c r="G3" s="43" t="s">
        <v>0</v>
      </c>
      <c r="H3" s="43" t="s">
        <v>66</v>
      </c>
      <c r="I3" s="44" t="s">
        <v>67</v>
      </c>
      <c r="K3" s="56"/>
      <c r="L3" s="241" t="s">
        <v>0</v>
      </c>
      <c r="M3" s="242"/>
      <c r="N3" s="243"/>
      <c r="O3" s="241" t="s">
        <v>66</v>
      </c>
      <c r="P3" s="242"/>
      <c r="Q3" s="243"/>
      <c r="R3" s="241" t="s">
        <v>67</v>
      </c>
      <c r="S3" s="242"/>
      <c r="T3" s="243"/>
      <c r="U3" s="46"/>
      <c r="V3" s="46"/>
      <c r="W3" s="46"/>
      <c r="X3" s="268"/>
      <c r="Y3" s="268"/>
      <c r="Z3" s="268"/>
    </row>
    <row r="4" spans="2:26" ht="17" thickBot="1" x14ac:dyDescent="0.25">
      <c r="B4" s="162">
        <v>-9737</v>
      </c>
      <c r="C4" s="163">
        <f>-11068</f>
        <v>-11068</v>
      </c>
      <c r="D4" s="164">
        <f>-10345</f>
        <v>-10345</v>
      </c>
      <c r="F4" s="122" t="s">
        <v>11</v>
      </c>
      <c r="G4" s="102">
        <f>ABS(AVERAGE(B4:B5)-AVERAGE(B6:B7))</f>
        <v>19474</v>
      </c>
      <c r="H4" s="102">
        <f>ABS(AVERAGE(B11:B12)-AVERAGE(B13:B14))</f>
        <v>15944</v>
      </c>
      <c r="I4" s="103">
        <f>ABS(AVERAGE(B18:B19)-AVERAGE(B20:B21))</f>
        <v>16478</v>
      </c>
      <c r="K4" s="57"/>
      <c r="L4" s="190">
        <v>2.5</v>
      </c>
      <c r="M4" s="154">
        <v>1.5</v>
      </c>
      <c r="N4" s="192">
        <v>0.5</v>
      </c>
      <c r="O4" s="190">
        <v>2.5</v>
      </c>
      <c r="P4" s="154">
        <v>1.5</v>
      </c>
      <c r="Q4" s="192">
        <v>0.5</v>
      </c>
      <c r="R4" s="190">
        <v>2.5</v>
      </c>
      <c r="S4" s="154">
        <v>1.5</v>
      </c>
      <c r="T4" s="192">
        <v>0.5</v>
      </c>
      <c r="U4" s="22"/>
      <c r="V4" s="22"/>
      <c r="W4" s="22"/>
      <c r="X4" s="22"/>
      <c r="Y4" s="22"/>
      <c r="Z4" s="22"/>
    </row>
    <row r="5" spans="2:26" x14ac:dyDescent="0.2">
      <c r="B5" s="165">
        <v>-9737</v>
      </c>
      <c r="C5" s="166">
        <f>C4</f>
        <v>-11068</v>
      </c>
      <c r="D5" s="167">
        <f>D4</f>
        <v>-10345</v>
      </c>
      <c r="F5" s="123" t="s">
        <v>12</v>
      </c>
      <c r="G5" s="121">
        <f>G4/2</f>
        <v>9737</v>
      </c>
      <c r="H5" s="121">
        <f t="shared" ref="H5:I5" si="0">H4/2</f>
        <v>7972</v>
      </c>
      <c r="I5" s="124">
        <f t="shared" si="0"/>
        <v>8239</v>
      </c>
      <c r="K5" s="176" t="s">
        <v>12</v>
      </c>
      <c r="L5" s="179">
        <f>$G$5</f>
        <v>9737</v>
      </c>
      <c r="M5" s="178">
        <f>L5</f>
        <v>9737</v>
      </c>
      <c r="N5" s="180">
        <f t="shared" ref="N5:N6" si="1">M5</f>
        <v>9737</v>
      </c>
      <c r="O5" s="179">
        <f>$H$5</f>
        <v>7972</v>
      </c>
      <c r="P5" s="178">
        <f>O5</f>
        <v>7972</v>
      </c>
      <c r="Q5" s="180">
        <f t="shared" ref="Q5:Q6" si="2">P5</f>
        <v>7972</v>
      </c>
      <c r="R5" s="179">
        <f>$I$5</f>
        <v>8239</v>
      </c>
      <c r="S5" s="178">
        <f>R5</f>
        <v>8239</v>
      </c>
      <c r="T5" s="180">
        <f t="shared" ref="T5:T6" si="3">S5</f>
        <v>8239</v>
      </c>
      <c r="V5" s="63"/>
      <c r="W5" s="63"/>
      <c r="X5" s="63"/>
      <c r="Y5" s="63"/>
      <c r="Z5" s="63"/>
    </row>
    <row r="6" spans="2:26" x14ac:dyDescent="0.2">
      <c r="B6" s="165">
        <v>9737</v>
      </c>
      <c r="C6" s="166">
        <v>-2115</v>
      </c>
      <c r="D6" s="167">
        <f>-6496</f>
        <v>-6496</v>
      </c>
      <c r="F6" s="122" t="s">
        <v>13</v>
      </c>
      <c r="G6" s="102">
        <f>AVERAGE(B4:B5)-AVERAGE(C4:C5)</f>
        <v>1331</v>
      </c>
      <c r="H6" s="102">
        <f>AVERAGE(B11:B12)-AVERAGE(C11:C12)</f>
        <v>2368</v>
      </c>
      <c r="I6" s="103">
        <f>AVERAGE(B18:B19)-AVERAGE(C18:C19)</f>
        <v>3123</v>
      </c>
      <c r="K6" s="67" t="s">
        <v>14</v>
      </c>
      <c r="L6" s="108">
        <v>-2637</v>
      </c>
      <c r="M6" s="109">
        <f>L6</f>
        <v>-2637</v>
      </c>
      <c r="N6" s="110">
        <f t="shared" si="1"/>
        <v>-2637</v>
      </c>
      <c r="O6" s="108">
        <f>H7</f>
        <v>-2010.1333333333337</v>
      </c>
      <c r="P6" s="109">
        <f>O6</f>
        <v>-2010.1333333333337</v>
      </c>
      <c r="Q6" s="110">
        <f t="shared" si="2"/>
        <v>-2010.1333333333337</v>
      </c>
      <c r="R6" s="108">
        <f>I7</f>
        <v>-2347.7333333333336</v>
      </c>
      <c r="S6" s="109">
        <f>R6</f>
        <v>-2347.7333333333336</v>
      </c>
      <c r="T6" s="110">
        <f t="shared" si="3"/>
        <v>-2347.7333333333336</v>
      </c>
      <c r="U6" s="63"/>
      <c r="V6" s="63"/>
      <c r="W6" s="63"/>
      <c r="X6" s="63"/>
      <c r="Y6" s="63"/>
      <c r="Z6" s="63"/>
    </row>
    <row r="7" spans="2:26" ht="17" thickBot="1" x14ac:dyDescent="0.25">
      <c r="B7" s="168">
        <v>9737</v>
      </c>
      <c r="C7" s="169">
        <f>C6</f>
        <v>-2115</v>
      </c>
      <c r="D7" s="170">
        <f>D6</f>
        <v>-6496</v>
      </c>
      <c r="F7" s="125" t="s">
        <v>14</v>
      </c>
      <c r="G7" s="104">
        <f>-2*(G6+G5/3)/5</f>
        <v>-1830.6666666666665</v>
      </c>
      <c r="H7" s="104">
        <f t="shared" ref="H7:I7" si="4">-2*(H6+H5/3)/5</f>
        <v>-2010.1333333333337</v>
      </c>
      <c r="I7" s="126">
        <f t="shared" si="4"/>
        <v>-2347.7333333333336</v>
      </c>
      <c r="K7" s="67" t="s">
        <v>24</v>
      </c>
      <c r="L7" s="105">
        <f>-L5*((L4+0.5)/($L$4+0.5))-(L6/2)*(L4*(L4+1)-$L$4*($L$4+1))</f>
        <v>-9737</v>
      </c>
      <c r="M7" s="106">
        <f t="shared" ref="M7:T7" si="5">-M5*((M4+0.5)/($L$4+0.5))-(M6/2)*(M4*(M4+1)-$L$4*($L$4+1))</f>
        <v>-13083.833333333332</v>
      </c>
      <c r="N7" s="107">
        <f t="shared" si="5"/>
        <v>-13793.666666666666</v>
      </c>
      <c r="O7" s="105">
        <f t="shared" si="5"/>
        <v>-7972</v>
      </c>
      <c r="P7" s="106">
        <f t="shared" si="5"/>
        <v>-10340</v>
      </c>
      <c r="Q7" s="107">
        <f t="shared" si="5"/>
        <v>-10697.866666666669</v>
      </c>
      <c r="R7" s="105">
        <f t="shared" si="5"/>
        <v>-8239</v>
      </c>
      <c r="S7" s="106">
        <f t="shared" si="5"/>
        <v>-11362</v>
      </c>
      <c r="T7" s="107">
        <f t="shared" si="5"/>
        <v>-12137.266666666666</v>
      </c>
      <c r="U7" s="69"/>
      <c r="V7" s="69"/>
      <c r="W7" s="69"/>
      <c r="X7" s="69"/>
      <c r="Y7" s="69"/>
      <c r="Z7" s="69"/>
    </row>
    <row r="8" spans="2:26" ht="17" thickBot="1" x14ac:dyDescent="0.25">
      <c r="B8" s="100"/>
      <c r="C8" s="100"/>
      <c r="D8" s="100"/>
      <c r="F8" s="172" t="s">
        <v>70</v>
      </c>
      <c r="G8" s="149">
        <f>(-2/5)*(AVERAGE(B5,B6)-AVERAGE(C6,C5))</f>
        <v>-2636.6000000000004</v>
      </c>
      <c r="H8" s="149">
        <f>(-2/5)*(AVERAGE(B12,B13)-AVERAGE(C13,C12))</f>
        <v>-2249.6</v>
      </c>
      <c r="I8" s="150">
        <f>(-2/5)*(AVERAGE(B19,B20)-AVERAGE(C20,C19))</f>
        <v>-2513</v>
      </c>
      <c r="J8" s="89" t="s">
        <v>69</v>
      </c>
      <c r="K8" s="67" t="s">
        <v>25</v>
      </c>
      <c r="L8" s="105">
        <f>L5*((L4+0.5)/($L$4+0.5))-(L6/2)*(L4*(L4+1)-$L$4*($L$4+1))</f>
        <v>9737</v>
      </c>
      <c r="M8" s="106">
        <f t="shared" ref="M8:T8" si="6">M5*((M4+0.5)/($L$4+0.5))-(M6/2)*(M4*(M4+1)-$L$4*($L$4+1))</f>
        <v>-101.16666666666697</v>
      </c>
      <c r="N8" s="107">
        <f t="shared" si="6"/>
        <v>-7302.3333333333339</v>
      </c>
      <c r="O8" s="105">
        <f t="shared" si="6"/>
        <v>7972</v>
      </c>
      <c r="P8" s="106">
        <f t="shared" si="6"/>
        <v>289.33333333333212</v>
      </c>
      <c r="Q8" s="107">
        <f t="shared" si="6"/>
        <v>-5383.2000000000016</v>
      </c>
      <c r="R8" s="105">
        <f t="shared" si="6"/>
        <v>8239</v>
      </c>
      <c r="S8" s="106">
        <f t="shared" si="6"/>
        <v>-376.66666666666788</v>
      </c>
      <c r="T8" s="107">
        <f t="shared" si="6"/>
        <v>-6644.6000000000013</v>
      </c>
      <c r="U8" s="69"/>
      <c r="V8" s="69"/>
      <c r="W8" s="69"/>
      <c r="X8" s="69"/>
      <c r="Y8" s="69"/>
      <c r="Z8" s="69"/>
    </row>
    <row r="9" spans="2:26" ht="17" thickBot="1" x14ac:dyDescent="0.25">
      <c r="B9" s="262" t="s">
        <v>66</v>
      </c>
      <c r="C9" s="263"/>
      <c r="D9" s="264"/>
      <c r="F9" s="127"/>
      <c r="G9" s="89"/>
      <c r="H9" s="89"/>
      <c r="I9" s="89"/>
      <c r="J9" s="46"/>
      <c r="K9" s="176" t="s">
        <v>12</v>
      </c>
      <c r="L9" s="177">
        <f>L5</f>
        <v>9737</v>
      </c>
      <c r="M9" s="178">
        <f>L9</f>
        <v>9737</v>
      </c>
      <c r="N9" s="180">
        <f t="shared" ref="N9" si="7">M9</f>
        <v>9737</v>
      </c>
      <c r="O9" s="179">
        <f>$H$5</f>
        <v>7972</v>
      </c>
      <c r="P9" s="178">
        <f>O9</f>
        <v>7972</v>
      </c>
      <c r="Q9" s="180">
        <f t="shared" ref="Q9" si="8">P9</f>
        <v>7972</v>
      </c>
      <c r="R9" s="179">
        <f>$I$5</f>
        <v>8239</v>
      </c>
      <c r="S9" s="178">
        <f>R9</f>
        <v>8239</v>
      </c>
      <c r="T9" s="180">
        <f t="shared" ref="T9" si="9">S9</f>
        <v>8239</v>
      </c>
      <c r="U9" s="173" t="s">
        <v>71</v>
      </c>
      <c r="V9" s="63"/>
      <c r="W9" s="63"/>
      <c r="X9" s="63"/>
      <c r="Y9" s="63"/>
      <c r="Z9" s="63"/>
    </row>
    <row r="10" spans="2:26" ht="17" thickBot="1" x14ac:dyDescent="0.25">
      <c r="B10" s="111" t="str">
        <f>'Raw Data'!B12</f>
        <v>S = 5/2</v>
      </c>
      <c r="C10" s="112" t="str">
        <f>'Raw Data'!C12</f>
        <v>S = 3/2</v>
      </c>
      <c r="D10" s="113" t="str">
        <f>'Raw Data'!D12</f>
        <v>S = 1/2</v>
      </c>
      <c r="F10" s="265" t="s">
        <v>16</v>
      </c>
      <c r="G10" s="266"/>
      <c r="H10" s="266"/>
      <c r="I10" s="267"/>
      <c r="J10" s="19"/>
      <c r="K10" s="67" t="s">
        <v>14</v>
      </c>
      <c r="L10" s="174">
        <f>G8</f>
        <v>-2636.6000000000004</v>
      </c>
      <c r="M10" s="175">
        <f>L10</f>
        <v>-2636.6000000000004</v>
      </c>
      <c r="N10" s="181">
        <f>M10</f>
        <v>-2636.6000000000004</v>
      </c>
      <c r="O10" s="174">
        <f>H8</f>
        <v>-2249.6</v>
      </c>
      <c r="P10" s="175">
        <f>O10</f>
        <v>-2249.6</v>
      </c>
      <c r="Q10" s="181">
        <f>P10</f>
        <v>-2249.6</v>
      </c>
      <c r="R10" s="174">
        <f>I8</f>
        <v>-2513</v>
      </c>
      <c r="S10" s="175">
        <f>R10</f>
        <v>-2513</v>
      </c>
      <c r="T10" s="181">
        <f>S10</f>
        <v>-2513</v>
      </c>
      <c r="U10" s="63"/>
      <c r="V10" s="63"/>
      <c r="W10" s="63"/>
      <c r="X10" s="63"/>
      <c r="Y10" s="63"/>
      <c r="Z10" s="63"/>
    </row>
    <row r="11" spans="2:26" x14ac:dyDescent="0.2">
      <c r="B11" s="165">
        <v>-7972</v>
      </c>
      <c r="C11" s="166">
        <v>-10340</v>
      </c>
      <c r="D11" s="167">
        <v>-9691</v>
      </c>
      <c r="F11" s="42" t="s">
        <v>68</v>
      </c>
      <c r="G11" s="43" t="s">
        <v>0</v>
      </c>
      <c r="H11" s="43" t="s">
        <v>66</v>
      </c>
      <c r="I11" s="44" t="s">
        <v>67</v>
      </c>
      <c r="J11" s="39"/>
      <c r="K11" s="67" t="s">
        <v>24</v>
      </c>
      <c r="L11" s="105">
        <f>-L9*((L4+0.5)/($L$4+0.5))-(L10/2)*(L4*(L4+1)-$L$4*($L$4+1))</f>
        <v>-9737</v>
      </c>
      <c r="M11" s="106">
        <f t="shared" ref="M11:N11" si="10">-M9*((M4+0.5)/($L$4+0.5))-(M10/2)*(M4*(M4+1)-$L$4*($L$4+1))</f>
        <v>-13082.833333333334</v>
      </c>
      <c r="N11" s="107">
        <f t="shared" si="10"/>
        <v>-13792.066666666668</v>
      </c>
      <c r="O11" s="105">
        <f>-O9*((O4+0.5)/($L$4+0.5))-(O10/2)*(O4*(O4+1)-$L$4*($L$4+1))</f>
        <v>-7972</v>
      </c>
      <c r="P11" s="106">
        <f t="shared" ref="P11" si="11">-P9*((P4+0.5)/($L$4+0.5))-(P10/2)*(P4*(P4+1)-$L$4*($L$4+1))</f>
        <v>-10938.666666666666</v>
      </c>
      <c r="Q11" s="107">
        <f t="shared" ref="Q11" si="12">-Q9*((Q4+0.5)/($L$4+0.5))-(Q10/2)*(Q4*(Q4+1)-$L$4*($L$4+1))</f>
        <v>-11655.733333333334</v>
      </c>
      <c r="R11" s="105">
        <f>-R9*((R4+0.5)/($L$4+0.5))-(R10/2)*(R4*(R4+1)-$L$4*($L$4+1))</f>
        <v>-8239</v>
      </c>
      <c r="S11" s="106">
        <f t="shared" ref="S11" si="13">-S9*((S4+0.5)/($L$4+0.5))-(S10/2)*(S4*(S4+1)-$L$4*($L$4+1))</f>
        <v>-11775.166666666666</v>
      </c>
      <c r="T11" s="107">
        <f t="shared" ref="T11" si="14">-T9*((T4+0.5)/($L$4+0.5))-(T10/2)*(T4*(T4+1)-$L$4*($L$4+1))</f>
        <v>-12798.333333333332</v>
      </c>
      <c r="U11" s="63"/>
      <c r="V11" s="63"/>
      <c r="W11" s="63"/>
      <c r="X11" s="63"/>
      <c r="Y11" s="63"/>
      <c r="Z11" s="63"/>
    </row>
    <row r="12" spans="2:26" ht="17" thickBot="1" x14ac:dyDescent="0.25">
      <c r="B12" s="165">
        <f>B11</f>
        <v>-7972</v>
      </c>
      <c r="C12" s="166">
        <f>C11</f>
        <v>-10340</v>
      </c>
      <c r="D12" s="167">
        <f>D11</f>
        <v>-9691</v>
      </c>
      <c r="F12" s="122" t="s">
        <v>11</v>
      </c>
      <c r="G12" s="102">
        <f>ABS(AVERAGE(B4:B5)-AVERAGE(B6:B7))</f>
        <v>19474</v>
      </c>
      <c r="H12" s="102">
        <f>ABS(AVERAGE(B11:B12)-AVERAGE(B13:B14))</f>
        <v>15944</v>
      </c>
      <c r="I12" s="103">
        <f>ABS(AVERAGE(B18:B19)-AVERAGE(B20:B21))</f>
        <v>16478</v>
      </c>
      <c r="K12" s="194" t="s">
        <v>25</v>
      </c>
      <c r="L12" s="193">
        <f>L9*((L4+0.5)/($L$4+0.5))-(L10/2)*(L4*(L4+1)-$L$4*($L$4+1))</f>
        <v>9737</v>
      </c>
      <c r="M12" s="182">
        <f t="shared" ref="M12:N12" si="15">M9*((M4+0.5)/($L$4+0.5))-(M10/2)*(M4*(M4+1)-$L$4*($L$4+1))</f>
        <v>-100.16666666666788</v>
      </c>
      <c r="N12" s="183">
        <f t="shared" si="15"/>
        <v>-7300.7333333333354</v>
      </c>
      <c r="O12" s="193">
        <f>O9*((O4+0.5)/($L$4+0.5))-(O10/2)*(O4*(O4+1)-$L$4*($L$4+1))</f>
        <v>7972</v>
      </c>
      <c r="P12" s="182">
        <f t="shared" ref="P12:Q12" si="16">P9*((P4+0.5)/($L$4+0.5))-(P10/2)*(P4*(P4+1)-$L$4*($L$4+1))</f>
        <v>-309.33333333333394</v>
      </c>
      <c r="Q12" s="183">
        <f t="shared" si="16"/>
        <v>-6341.0666666666666</v>
      </c>
      <c r="R12" s="193">
        <f>R9*((R4+0.5)/($L$4+0.5))-(R10/2)*(R4*(R4+1)-$L$4*($L$4+1))</f>
        <v>8239</v>
      </c>
      <c r="S12" s="182">
        <f t="shared" ref="S12:T12" si="17">S9*((S4+0.5)/($L$4+0.5))-(S10/2)*(S4*(S4+1)-$L$4*($L$4+1))</f>
        <v>-789.83333333333394</v>
      </c>
      <c r="T12" s="183">
        <f t="shared" si="17"/>
        <v>-7305.666666666667</v>
      </c>
      <c r="U12" s="69"/>
      <c r="V12" s="69"/>
      <c r="W12" s="69"/>
      <c r="X12" s="69"/>
      <c r="Y12" s="69"/>
      <c r="Z12" s="69"/>
    </row>
    <row r="13" spans="2:26" x14ac:dyDescent="0.2">
      <c r="B13" s="165">
        <f>7972</f>
        <v>7972</v>
      </c>
      <c r="C13" s="166">
        <v>-908</v>
      </c>
      <c r="D13" s="167">
        <v>-5770</v>
      </c>
      <c r="F13" s="123" t="s">
        <v>12</v>
      </c>
      <c r="G13" s="121">
        <f>G12/2</f>
        <v>9737</v>
      </c>
      <c r="H13" s="121">
        <f t="shared" ref="H13:I13" si="18">H12/2</f>
        <v>7972</v>
      </c>
      <c r="I13" s="124">
        <f t="shared" si="18"/>
        <v>8239</v>
      </c>
      <c r="K13" s="187" t="s">
        <v>12</v>
      </c>
      <c r="L13" s="177">
        <f>G13</f>
        <v>9737</v>
      </c>
      <c r="M13" s="188">
        <f>L13</f>
        <v>9737</v>
      </c>
      <c r="N13" s="189">
        <f>M13</f>
        <v>9737</v>
      </c>
      <c r="O13" s="177">
        <f>H13</f>
        <v>7972</v>
      </c>
      <c r="P13" s="188">
        <f>O13</f>
        <v>7972</v>
      </c>
      <c r="Q13" s="189">
        <f>O13</f>
        <v>7972</v>
      </c>
      <c r="R13" s="177">
        <f>I13</f>
        <v>8239</v>
      </c>
      <c r="S13" s="188">
        <f>R13</f>
        <v>8239</v>
      </c>
      <c r="T13" s="189">
        <f>S13</f>
        <v>8239</v>
      </c>
      <c r="U13" s="69"/>
      <c r="V13" s="69"/>
      <c r="W13" s="69"/>
      <c r="X13" s="69"/>
      <c r="Y13" s="69"/>
      <c r="Z13" s="69"/>
    </row>
    <row r="14" spans="2:26" ht="17" thickBot="1" x14ac:dyDescent="0.25">
      <c r="B14" s="168">
        <f>B13</f>
        <v>7972</v>
      </c>
      <c r="C14" s="169">
        <v>-908</v>
      </c>
      <c r="D14" s="170">
        <f>D13</f>
        <v>-5770</v>
      </c>
      <c r="F14" s="122" t="s">
        <v>18</v>
      </c>
      <c r="G14" s="102">
        <f>-G13-(((G20-SQRT(G20*G20+4*G13*(G13-(2*G20/3))))/2)+(5/2)*G19)</f>
        <v>-7621.9991639994023</v>
      </c>
      <c r="H14" s="102">
        <f t="shared" ref="H14:I14" si="19">-H13-(((H20-SQRT(H20*H20+4*H13*(H13-(2*H20/3))))/2)+(5/2)*H19)</f>
        <v>-7063.9985081708801</v>
      </c>
      <c r="I14" s="103">
        <f t="shared" si="19"/>
        <v>-7035.9989308355771</v>
      </c>
      <c r="K14" s="75" t="s">
        <v>14</v>
      </c>
      <c r="L14" s="174">
        <f>G19</f>
        <v>-1154.1390374054643</v>
      </c>
      <c r="M14" s="175">
        <f>L14</f>
        <v>-1154.1390374054643</v>
      </c>
      <c r="N14" s="181">
        <f>L14</f>
        <v>-1154.1390374054643</v>
      </c>
      <c r="O14" s="174">
        <f>H19</f>
        <v>-1621.5036441900929</v>
      </c>
      <c r="P14" s="175">
        <f>O14</f>
        <v>-1621.5036441900929</v>
      </c>
      <c r="Q14" s="181">
        <f>O14</f>
        <v>-1621.5036441900929</v>
      </c>
      <c r="R14" s="174">
        <f>I19</f>
        <v>-2000.0466565909392</v>
      </c>
      <c r="S14" s="175">
        <f>R14</f>
        <v>-2000.0466565909392</v>
      </c>
      <c r="T14" s="181">
        <f>R14</f>
        <v>-2000.0466565909392</v>
      </c>
    </row>
    <row r="15" spans="2:26" ht="17" thickBot="1" x14ac:dyDescent="0.25">
      <c r="B15" s="100"/>
      <c r="C15" s="116"/>
      <c r="D15" s="116"/>
      <c r="F15" s="122" t="s">
        <v>17</v>
      </c>
      <c r="G15" s="102">
        <f>-G13-(((G20-SQRT(G20*G20+4*G13*(G13+(2*G20/3))))/2)+(5/2)*G19)</f>
        <v>1330.9993528533942</v>
      </c>
      <c r="H15" s="102">
        <f t="shared" ref="H15:I15" si="20">-H13-(((H20-SQRT(H20*H20+4*H13*(H13+(2*H20/3))))/2)+(5/2)*H19)</f>
        <v>2368.0007255074124</v>
      </c>
      <c r="I15" s="103">
        <f t="shared" si="20"/>
        <v>3122.9994460657181</v>
      </c>
      <c r="K15" s="67" t="s">
        <v>20</v>
      </c>
      <c r="L15" s="174">
        <f>G20</f>
        <v>16468.441871790361</v>
      </c>
      <c r="M15" s="175">
        <f>L15</f>
        <v>16468.441871790361</v>
      </c>
      <c r="N15" s="181">
        <f>L15</f>
        <v>16468.441871790361</v>
      </c>
      <c r="O15" s="174">
        <f>H20</f>
        <v>24739.162323888027</v>
      </c>
      <c r="P15" s="175">
        <f>O15</f>
        <v>24739.162323888027</v>
      </c>
      <c r="Q15" s="181">
        <f>O15</f>
        <v>24739.162323888027</v>
      </c>
      <c r="R15" s="174">
        <f>I20</f>
        <v>31531.361401336053</v>
      </c>
      <c r="S15" s="175">
        <f>R15</f>
        <v>31531.361401336053</v>
      </c>
      <c r="T15" s="181">
        <f>R15</f>
        <v>31531.361401336053</v>
      </c>
      <c r="U15" s="1"/>
      <c r="V15" s="1"/>
      <c r="W15" s="1"/>
      <c r="X15" s="1"/>
      <c r="Y15" s="69"/>
    </row>
    <row r="16" spans="2:26" ht="17" thickBot="1" x14ac:dyDescent="0.25">
      <c r="B16" s="262" t="s">
        <v>67</v>
      </c>
      <c r="C16" s="263"/>
      <c r="D16" s="264"/>
      <c r="F16" s="122" t="s">
        <v>22</v>
      </c>
      <c r="G16" s="102">
        <f>AVERAGE(B4:B5)-AVERAGE(C6:C7)</f>
        <v>-7622</v>
      </c>
      <c r="H16" s="102">
        <f>AVERAGE(B11:B12)-AVERAGE(C13:C14)</f>
        <v>-7064</v>
      </c>
      <c r="I16" s="103">
        <f>AVERAGE(B18:B19)-AVERAGE(C20:C21)</f>
        <v>-7036</v>
      </c>
      <c r="K16" s="75" t="s">
        <v>26</v>
      </c>
      <c r="L16" s="105">
        <f>0.5*(L15-SQRT(L15*L15+4*L13*(L13+((L4+0.5)/($L$4+0.5))*L15)))-0.5*L14*(L4*(L4+1)-$L$4*($L$4+1))</f>
        <v>-9737</v>
      </c>
      <c r="M16" s="106">
        <f t="shared" ref="M16:N16" si="21">0.5*(M15-SQRT(M15*M15+4*M13*(M13+((M4+0.5)/($L$4+0.5))*M15)))-0.5*M14*(M4*(M4+1)-$L$4*($L$4+1))</f>
        <v>-11067.999352853394</v>
      </c>
      <c r="N16" s="107">
        <f t="shared" si="21"/>
        <v>-11081.404444679432</v>
      </c>
      <c r="O16" s="105">
        <f>0.5*(O15-SQRT(O15*O15+4*O13*(O13+((O4+0.5)/($L$4+0.5))*O15)))-0.5*O14*(O4*(O4+1)-$L$4*($L$4+1))</f>
        <v>-7972</v>
      </c>
      <c r="P16" s="106">
        <f t="shared" ref="P16:T16" si="22">0.5*(P15-SQRT(P15*P15+4*P13*(P13+((P4+0.5)/($L$4+0.5))*P15)))-0.5*P14*(P4*(P4+1)-$L$4*($L$4+1))</f>
        <v>-10340.000725507412</v>
      </c>
      <c r="Q16" s="107">
        <f t="shared" si="22"/>
        <v>-10918.204833447551</v>
      </c>
      <c r="R16" s="105">
        <f t="shared" si="22"/>
        <v>-8238.9999999999982</v>
      </c>
      <c r="S16" s="106">
        <f t="shared" si="22"/>
        <v>-11361.999446065718</v>
      </c>
      <c r="T16" s="107">
        <f t="shared" si="22"/>
        <v>-12310.198636466275</v>
      </c>
      <c r="U16" s="1"/>
      <c r="V16" s="1"/>
      <c r="W16" s="1"/>
      <c r="X16" s="1"/>
      <c r="Y16" s="69"/>
    </row>
    <row r="17" spans="2:25" ht="17" thickBot="1" x14ac:dyDescent="0.25">
      <c r="B17" s="111" t="str">
        <f>'Raw Data'!B21</f>
        <v>S = 5/2</v>
      </c>
      <c r="C17" s="112" t="str">
        <f>'Raw Data'!C21</f>
        <v>S = 3/2</v>
      </c>
      <c r="D17" s="113" t="str">
        <f>'Raw Data'!D21</f>
        <v>S = 1/2</v>
      </c>
      <c r="F17" s="122" t="s">
        <v>21</v>
      </c>
      <c r="G17" s="102">
        <f>AVERAGE(B4:B5)-AVERAGE(C4:C5)</f>
        <v>1331</v>
      </c>
      <c r="H17" s="102">
        <f>AVERAGE(B11:B12)-AVERAGE(C11:C12)</f>
        <v>2368</v>
      </c>
      <c r="I17" s="103">
        <f>AVERAGE(B18:B19)-AVERAGE(C18:C19)</f>
        <v>3123</v>
      </c>
      <c r="K17" s="195" t="s">
        <v>27</v>
      </c>
      <c r="L17" s="193">
        <f>L13</f>
        <v>9737</v>
      </c>
      <c r="M17" s="182">
        <f>0.5*(M15-SQRT(M15*M15+4*M13*(M13-((M4+0.5)/($L$4+0.5))*M15)))-0.5*M14*(M4*(M4+1)-$L$4*($L$4+1))</f>
        <v>-2115.0008360005991</v>
      </c>
      <c r="N17" s="183">
        <f>0.5*(N15-SQRT(N15*N15+4*N13*(N13-((N4+0.5)/($L$4+0.5))*N15)))-0.5*N14*(N4*(N4+1)-$L$4*($L$4+1))</f>
        <v>-6830.3250005673444</v>
      </c>
      <c r="O17" s="193">
        <f>0.5*(O15-SQRT(O15*O15+4*O13*(O13-((O4+0.5)/($L$4+0.5))*O15)))-0.5*O14*(O4*(O4+1)-$L$4*($L$4+1))</f>
        <v>7971.9999999999982</v>
      </c>
      <c r="P17" s="182">
        <f t="shared" ref="P17:T17" si="23">0.5*(P15-SQRT(P15*P15+4*P13*(P13-((P4+0.5)/($L$4+0.5))*P15)))-0.5*P14*(P4*(P4+1)-$L$4*($L$4+1))</f>
        <v>-908.00149182912037</v>
      </c>
      <c r="Q17" s="183">
        <f t="shared" si="23"/>
        <v>-6397.2770926712492</v>
      </c>
      <c r="R17" s="193">
        <f t="shared" si="23"/>
        <v>8239</v>
      </c>
      <c r="S17" s="182">
        <f t="shared" si="23"/>
        <v>-1203.0010691644229</v>
      </c>
      <c r="T17" s="183">
        <f t="shared" si="23"/>
        <v>-7395.0527526920123</v>
      </c>
      <c r="U17" s="86"/>
      <c r="V17" s="86"/>
      <c r="W17" s="86"/>
      <c r="X17" s="1"/>
      <c r="Y17" s="63"/>
    </row>
    <row r="18" spans="2:25" x14ac:dyDescent="0.2">
      <c r="B18" s="162">
        <f>-8239</f>
        <v>-8239</v>
      </c>
      <c r="C18" s="163">
        <v>-11362</v>
      </c>
      <c r="D18" s="164">
        <v>-10464</v>
      </c>
      <c r="F18" s="122" t="s">
        <v>19</v>
      </c>
      <c r="G18" s="53">
        <f>(ABS(G16-G14)+ABS(G17-G15))/Summary!$B$3</f>
        <v>6.7577045383024123E-9</v>
      </c>
      <c r="H18" s="53">
        <f>(ABS(H16-H14)+ABS(H17-H15))/Summary!$B$3</f>
        <v>1.0102911640686577E-8</v>
      </c>
      <c r="I18" s="95">
        <f>(ABS(I16-I14)+ABS(I17-I15))/Summary!$B$3</f>
        <v>7.3953694263138458E-9</v>
      </c>
      <c r="K18" s="75" t="s">
        <v>12</v>
      </c>
      <c r="L18" s="108">
        <f>G13</f>
        <v>9737</v>
      </c>
      <c r="M18" s="109">
        <f>L18</f>
        <v>9737</v>
      </c>
      <c r="N18" s="110">
        <f t="shared" ref="N18:N20" si="24">M18</f>
        <v>9737</v>
      </c>
      <c r="O18" s="108">
        <f>H13</f>
        <v>7972</v>
      </c>
      <c r="P18" s="109">
        <f>O18</f>
        <v>7972</v>
      </c>
      <c r="Q18" s="110">
        <f t="shared" ref="Q18:Q20" si="25">P18</f>
        <v>7972</v>
      </c>
      <c r="R18" s="108">
        <f>$I$13</f>
        <v>8239</v>
      </c>
      <c r="S18" s="109">
        <f>R18</f>
        <v>8239</v>
      </c>
      <c r="T18" s="110">
        <f t="shared" ref="T18:T20" si="26">S18</f>
        <v>8239</v>
      </c>
      <c r="U18" s="173" t="s">
        <v>71</v>
      </c>
      <c r="V18" s="86"/>
      <c r="W18" s="86"/>
      <c r="X18" s="1"/>
      <c r="Y18" s="63"/>
    </row>
    <row r="19" spans="2:25" x14ac:dyDescent="0.2">
      <c r="B19" s="165">
        <f>B18</f>
        <v>-8239</v>
      </c>
      <c r="C19" s="166">
        <f>C18</f>
        <v>-11362</v>
      </c>
      <c r="D19" s="167">
        <f>D18</f>
        <v>-10464</v>
      </c>
      <c r="F19" s="122" t="s">
        <v>14</v>
      </c>
      <c r="G19" s="114">
        <v>-1154.1390374054643</v>
      </c>
      <c r="H19" s="114">
        <v>-1621.5036441900929</v>
      </c>
      <c r="I19" s="115">
        <v>-2000.0466565909392</v>
      </c>
      <c r="K19" s="75" t="s">
        <v>14</v>
      </c>
      <c r="L19" s="108">
        <v>-1007</v>
      </c>
      <c r="M19" s="109">
        <f>L19</f>
        <v>-1007</v>
      </c>
      <c r="N19" s="110">
        <f t="shared" si="24"/>
        <v>-1007</v>
      </c>
      <c r="O19" s="108">
        <v>-1293</v>
      </c>
      <c r="P19" s="109">
        <f>O19</f>
        <v>-1293</v>
      </c>
      <c r="Q19" s="110">
        <f t="shared" si="25"/>
        <v>-1293</v>
      </c>
      <c r="R19" s="108">
        <f>I28</f>
        <v>-1533</v>
      </c>
      <c r="S19" s="109">
        <f>R19</f>
        <v>-1533</v>
      </c>
      <c r="T19" s="110">
        <f t="shared" si="26"/>
        <v>-1533</v>
      </c>
      <c r="U19" s="86"/>
      <c r="V19" s="86"/>
      <c r="W19" s="86"/>
      <c r="X19" s="1"/>
      <c r="Y19" s="63"/>
    </row>
    <row r="20" spans="2:25" ht="17" thickBot="1" x14ac:dyDescent="0.25">
      <c r="B20" s="165">
        <v>8239</v>
      </c>
      <c r="C20" s="166">
        <f>-1203</f>
        <v>-1203</v>
      </c>
      <c r="D20" s="167">
        <f>-6572</f>
        <v>-6572</v>
      </c>
      <c r="F20" s="128" t="s">
        <v>20</v>
      </c>
      <c r="G20" s="118">
        <v>16468.441871790361</v>
      </c>
      <c r="H20" s="118">
        <v>24739.162323888027</v>
      </c>
      <c r="I20" s="161">
        <v>31531.361401336053</v>
      </c>
      <c r="K20" s="67" t="s">
        <v>20</v>
      </c>
      <c r="L20" s="108">
        <v>15523</v>
      </c>
      <c r="M20" s="109">
        <f>L20</f>
        <v>15523</v>
      </c>
      <c r="N20" s="110">
        <f t="shared" si="24"/>
        <v>15523</v>
      </c>
      <c r="O20" s="108">
        <v>19433</v>
      </c>
      <c r="P20" s="109">
        <f>O20</f>
        <v>19433</v>
      </c>
      <c r="Q20" s="110">
        <f t="shared" si="25"/>
        <v>19433</v>
      </c>
      <c r="R20" s="108">
        <v>21296</v>
      </c>
      <c r="S20" s="109">
        <f>R20</f>
        <v>21296</v>
      </c>
      <c r="T20" s="110">
        <f t="shared" si="26"/>
        <v>21296</v>
      </c>
      <c r="U20" s="86"/>
      <c r="V20" s="86"/>
      <c r="W20" s="86"/>
      <c r="X20" s="1"/>
      <c r="Y20" s="69"/>
    </row>
    <row r="21" spans="2:25" ht="17" thickBot="1" x14ac:dyDescent="0.25">
      <c r="B21" s="168">
        <f>B20</f>
        <v>8239</v>
      </c>
      <c r="C21" s="169">
        <f>C20</f>
        <v>-1203</v>
      </c>
      <c r="D21" s="170">
        <f>D20</f>
        <v>-6572</v>
      </c>
      <c r="F21" s="122" t="s">
        <v>18</v>
      </c>
      <c r="G21" s="102">
        <f>-G13-(((G27-SQRT(G27*G27+4*G13*(G13-(2*G27/3))))/2)+(5/2)*G26)</f>
        <v>-7621.9999940216985</v>
      </c>
      <c r="H21" s="102">
        <f t="shared" ref="H21:I21" si="27">-H13-(((H27-SQRT(H27*H27+4*H13*(H13-(2*H27/3))))/2)+(5/2)*H26)</f>
        <v>-7064.0002326842477</v>
      </c>
      <c r="I21" s="103">
        <f t="shared" si="27"/>
        <v>-7036.0042059220741</v>
      </c>
      <c r="K21" s="75" t="s">
        <v>26</v>
      </c>
      <c r="L21" s="105">
        <f t="shared" ref="L21:T21" si="28">0.5*(L20-SQRT(L20*L20+4*L18*(L18+((L4+0.5)/($L$4+0.5))*L20)))-0.5*L19*(L4*(L4+1)-$L$4*($L$4+1))</f>
        <v>-9737</v>
      </c>
      <c r="M21" s="106">
        <f t="shared" si="28"/>
        <v>-10750.218286097426</v>
      </c>
      <c r="N21" s="107">
        <f t="shared" si="28"/>
        <v>-10599.417878668903</v>
      </c>
      <c r="O21" s="105">
        <f t="shared" si="28"/>
        <v>-7972</v>
      </c>
      <c r="P21" s="106">
        <f t="shared" si="28"/>
        <v>-9679.0156092027992</v>
      </c>
      <c r="Q21" s="107">
        <f t="shared" si="28"/>
        <v>-9933.1764336224423</v>
      </c>
      <c r="R21" s="105">
        <f t="shared" si="28"/>
        <v>-8239</v>
      </c>
      <c r="S21" s="106">
        <f t="shared" si="28"/>
        <v>-10453.919629313932</v>
      </c>
      <c r="T21" s="107">
        <f t="shared" si="28"/>
        <v>-10967.763743569154</v>
      </c>
      <c r="U21" s="1"/>
      <c r="V21" s="1"/>
      <c r="W21" s="1"/>
      <c r="X21" s="1"/>
      <c r="Y21" s="69"/>
    </row>
    <row r="22" spans="2:25" ht="17" thickBot="1" x14ac:dyDescent="0.25">
      <c r="D22" s="24"/>
      <c r="F22" s="122" t="s">
        <v>33</v>
      </c>
      <c r="G22" s="102">
        <f>-G13-(((G27-SQRT(G27*G27+4*G13*(G13-(G27/3))))/2)+(8/2)*G26)</f>
        <v>-3240.9976317445644</v>
      </c>
      <c r="H22" s="102">
        <f t="shared" ref="H22:I22" si="29">-H13-(((H27-SQRT(H27*H27+4*H13*(H13-(H27/3))))/2)+(8/2)*H26)</f>
        <v>-2201.9964883093471</v>
      </c>
      <c r="I22" s="103">
        <f t="shared" si="29"/>
        <v>-1666.9961619313854</v>
      </c>
      <c r="K22" s="195" t="s">
        <v>27</v>
      </c>
      <c r="L22" s="193">
        <f>L18</f>
        <v>9737</v>
      </c>
      <c r="M22" s="182">
        <f t="shared" ref="M22:T22" si="30">0.5*(M20-SQRT(M20*M20+4*M18*(M18-((M4+0.5)/($L$4+0.5))*M20)))-0.5*M19*(M4*(M4+1)-$L$4*($L$4+1))</f>
        <v>-2123.8411978453141</v>
      </c>
      <c r="N22" s="183">
        <f t="shared" si="30"/>
        <v>-6497.2168655638852</v>
      </c>
      <c r="O22" s="193">
        <f t="shared" si="30"/>
        <v>7972</v>
      </c>
      <c r="P22" s="182">
        <f t="shared" si="30"/>
        <v>-910.81162144558493</v>
      </c>
      <c r="Q22" s="183">
        <f t="shared" si="30"/>
        <v>-5766.8140570604937</v>
      </c>
      <c r="R22" s="193">
        <f t="shared" si="30"/>
        <v>8239</v>
      </c>
      <c r="S22" s="182">
        <f t="shared" si="30"/>
        <v>-1202.5543566794731</v>
      </c>
      <c r="T22" s="183">
        <f t="shared" si="30"/>
        <v>-6564.3930586118349</v>
      </c>
      <c r="U22" s="1"/>
      <c r="V22" s="1"/>
      <c r="W22" s="1"/>
      <c r="X22" s="1"/>
      <c r="Y22" s="1"/>
    </row>
    <row r="23" spans="2:25" ht="17" thickBot="1" x14ac:dyDescent="0.25">
      <c r="F23" s="122" t="s">
        <v>22</v>
      </c>
      <c r="G23" s="102">
        <f>AVERAGE(B4:B5)-AVERAGE(C6:C7)</f>
        <v>-7622</v>
      </c>
      <c r="H23" s="102">
        <f>AVERAGE(B11:B12)-AVERAGE(C13:C14)</f>
        <v>-7064</v>
      </c>
      <c r="I23" s="103">
        <f>AVERAGE(B18:B19)-AVERAGE(C20:C21)</f>
        <v>-7036</v>
      </c>
      <c r="U23" s="88"/>
      <c r="V23" s="88"/>
      <c r="W23" s="88"/>
    </row>
    <row r="24" spans="2:25" ht="17" thickBot="1" x14ac:dyDescent="0.25">
      <c r="F24" s="122" t="s">
        <v>34</v>
      </c>
      <c r="G24" s="102">
        <f>AVERAGE(B4:B5)-AVERAGE(D6:D7)</f>
        <v>-3241</v>
      </c>
      <c r="H24" s="102">
        <f>AVERAGE(B11:B12)-AVERAGE(D13:D14)</f>
        <v>-2202</v>
      </c>
      <c r="I24" s="103">
        <f>AVERAGE(B18:B19)-AVERAGE(D20:D21)</f>
        <v>-1667</v>
      </c>
      <c r="K24" s="239" t="s">
        <v>32</v>
      </c>
      <c r="L24" s="244"/>
      <c r="M24" s="244"/>
      <c r="N24" s="244"/>
      <c r="O24" s="244"/>
      <c r="P24" s="244"/>
      <c r="Q24" s="244"/>
      <c r="R24" s="244"/>
      <c r="S24" s="240"/>
      <c r="T24" s="46"/>
    </row>
    <row r="25" spans="2:25" ht="17" thickBot="1" x14ac:dyDescent="0.25">
      <c r="E25" t="s">
        <v>68</v>
      </c>
      <c r="F25" s="122" t="s">
        <v>19</v>
      </c>
      <c r="G25" s="53">
        <f>(ABS(G23-G21)+ABS(G24-G22))/Summary!$B$3</f>
        <v>1.0817786705093698E-8</v>
      </c>
      <c r="H25" s="53">
        <f>(ABS(H23-H21)+ABS(H24-H22))/Summary!$B$3</f>
        <v>1.7060598704336639E-8</v>
      </c>
      <c r="I25" s="95">
        <f>(ABS(I23-I21)+ABS(I24-I22))/Summary!$B$3</f>
        <v>3.6651056788917765E-8</v>
      </c>
      <c r="K25" s="80"/>
      <c r="L25" s="253" t="s">
        <v>65</v>
      </c>
      <c r="M25" s="253"/>
      <c r="N25" s="253"/>
      <c r="O25" s="253"/>
      <c r="P25" s="253"/>
      <c r="Q25" s="253"/>
      <c r="R25" s="253"/>
      <c r="S25" s="254"/>
    </row>
    <row r="26" spans="2:25" x14ac:dyDescent="0.2">
      <c r="F26" s="122" t="s">
        <v>14</v>
      </c>
      <c r="G26" s="101">
        <v>-1009.0558673119779</v>
      </c>
      <c r="H26" s="101">
        <v>-1295.6244671075256</v>
      </c>
      <c r="I26" s="171">
        <v>-1536.6461438702045</v>
      </c>
      <c r="J26" t="s">
        <v>73</v>
      </c>
      <c r="K26" s="81"/>
      <c r="L26" s="251" t="s">
        <v>10</v>
      </c>
      <c r="M26" s="251"/>
      <c r="N26" s="26"/>
      <c r="O26" s="251" t="s">
        <v>5</v>
      </c>
      <c r="P26" s="251"/>
      <c r="Q26" s="26"/>
      <c r="R26" s="251" t="s">
        <v>6</v>
      </c>
      <c r="S26" s="252"/>
    </row>
    <row r="27" spans="2:25" ht="17" thickBot="1" x14ac:dyDescent="0.25">
      <c r="F27" s="128" t="s">
        <v>20</v>
      </c>
      <c r="G27" s="104">
        <v>15556.831757715499</v>
      </c>
      <c r="H27" s="104">
        <v>19479.432284644896</v>
      </c>
      <c r="I27" s="126">
        <v>21344.710031318817</v>
      </c>
      <c r="K27" s="81"/>
      <c r="L27" s="22">
        <v>1</v>
      </c>
      <c r="M27" s="22">
        <v>2</v>
      </c>
      <c r="N27" s="22"/>
      <c r="O27" s="22">
        <f>M27+0.25</f>
        <v>2.25</v>
      </c>
      <c r="P27" s="22">
        <f>O27+1</f>
        <v>3.25</v>
      </c>
      <c r="Q27" s="22"/>
      <c r="R27" s="22">
        <f>P27+0.25</f>
        <v>3.5</v>
      </c>
      <c r="S27" s="79">
        <f>R27+1</f>
        <v>4.5</v>
      </c>
    </row>
    <row r="28" spans="2:25" x14ac:dyDescent="0.2">
      <c r="F28" s="184" t="s">
        <v>14</v>
      </c>
      <c r="G28" s="142">
        <v>-1007</v>
      </c>
      <c r="H28" s="142">
        <v>-1293</v>
      </c>
      <c r="I28" s="143">
        <v>-1533</v>
      </c>
      <c r="J28" t="s">
        <v>72</v>
      </c>
      <c r="K28" s="82" t="s">
        <v>29</v>
      </c>
      <c r="L28" s="102">
        <f>AVERAGE(B4:B5)-AVERAGE($B$4:$B$5)</f>
        <v>0</v>
      </c>
      <c r="M28" s="102">
        <f>L28</f>
        <v>0</v>
      </c>
      <c r="N28" s="102"/>
      <c r="O28" s="102">
        <f>AVERAGE(C4:C5)-AVERAGE($B$4:$B$5)</f>
        <v>-1331</v>
      </c>
      <c r="P28" s="102">
        <f>O28</f>
        <v>-1331</v>
      </c>
      <c r="Q28" s="102"/>
      <c r="R28" s="102">
        <f>AVERAGE(D4:D5)-AVERAGE($B$4:$B$5)</f>
        <v>-608</v>
      </c>
      <c r="S28" s="103">
        <f>R28</f>
        <v>-608</v>
      </c>
    </row>
    <row r="29" spans="2:25" ht="17" thickBot="1" x14ac:dyDescent="0.25">
      <c r="F29" s="128" t="s">
        <v>20</v>
      </c>
      <c r="G29" s="45">
        <v>15523</v>
      </c>
      <c r="H29" s="45">
        <v>19433</v>
      </c>
      <c r="I29" s="94">
        <v>21296</v>
      </c>
      <c r="K29" s="82" t="s">
        <v>28</v>
      </c>
      <c r="L29" s="102">
        <f>AVERAGE(B6:B7)-AVERAGE($B$4:$B$5)</f>
        <v>19474</v>
      </c>
      <c r="M29" s="102">
        <f t="shared" ref="M29:M36" si="31">L29</f>
        <v>19474</v>
      </c>
      <c r="N29" s="102"/>
      <c r="O29" s="102">
        <f>AVERAGE(C6:C7)-AVERAGE($B$4:$B$5)</f>
        <v>7622</v>
      </c>
      <c r="P29" s="102">
        <f t="shared" ref="P29:P35" si="32">O29</f>
        <v>7622</v>
      </c>
      <c r="Q29" s="102"/>
      <c r="R29" s="102">
        <f>AVERAGE(D6:D7)-AVERAGE($B$4:$B$5)</f>
        <v>3241</v>
      </c>
      <c r="S29" s="103">
        <f t="shared" ref="S29:S35" si="33">R29</f>
        <v>3241</v>
      </c>
    </row>
    <row r="30" spans="2:25" x14ac:dyDescent="0.2">
      <c r="K30" s="83" t="s">
        <v>24</v>
      </c>
      <c r="L30" s="102">
        <f>L7-$L$7</f>
        <v>0</v>
      </c>
      <c r="M30" s="102">
        <f t="shared" si="31"/>
        <v>0</v>
      </c>
      <c r="N30" s="102"/>
      <c r="O30" s="102">
        <f>M7-$L$7</f>
        <v>-3346.8333333333321</v>
      </c>
      <c r="P30" s="102">
        <f t="shared" si="32"/>
        <v>-3346.8333333333321</v>
      </c>
      <c r="Q30" s="102"/>
      <c r="R30" s="102">
        <f>N7-$L$7</f>
        <v>-4056.6666666666661</v>
      </c>
      <c r="S30" s="103">
        <f t="shared" si="33"/>
        <v>-4056.6666666666661</v>
      </c>
    </row>
    <row r="31" spans="2:25" x14ac:dyDescent="0.2">
      <c r="K31" s="83" t="s">
        <v>25</v>
      </c>
      <c r="L31" s="102">
        <f>L8-$L$7</f>
        <v>19474</v>
      </c>
      <c r="M31" s="102">
        <f t="shared" si="31"/>
        <v>19474</v>
      </c>
      <c r="N31" s="102"/>
      <c r="O31" s="102">
        <f>M8-$L$7</f>
        <v>9635.8333333333321</v>
      </c>
      <c r="P31" s="102">
        <f t="shared" si="32"/>
        <v>9635.8333333333321</v>
      </c>
      <c r="Q31" s="102"/>
      <c r="R31" s="102">
        <f>N8-$L$7</f>
        <v>2434.6666666666661</v>
      </c>
      <c r="S31" s="103">
        <f t="shared" si="33"/>
        <v>2434.6666666666661</v>
      </c>
    </row>
    <row r="32" spans="2:25" x14ac:dyDescent="0.2">
      <c r="K32" s="83" t="s">
        <v>76</v>
      </c>
      <c r="L32" s="102">
        <f>L11-$L$11</f>
        <v>0</v>
      </c>
      <c r="M32" s="102">
        <f t="shared" si="31"/>
        <v>0</v>
      </c>
      <c r="N32" s="148"/>
      <c r="O32" s="102">
        <f>M11-$L$11</f>
        <v>-3345.8333333333339</v>
      </c>
      <c r="P32" s="102">
        <f t="shared" si="32"/>
        <v>-3345.8333333333339</v>
      </c>
      <c r="Q32" s="102"/>
      <c r="R32" s="102">
        <f>N11-$L$11</f>
        <v>-4055.0666666666675</v>
      </c>
      <c r="S32" s="103">
        <f t="shared" si="33"/>
        <v>-4055.0666666666675</v>
      </c>
    </row>
    <row r="33" spans="11:19" x14ac:dyDescent="0.2">
      <c r="K33" s="83" t="s">
        <v>77</v>
      </c>
      <c r="L33" s="102">
        <f>L12-$L$11</f>
        <v>19474</v>
      </c>
      <c r="M33" s="102">
        <f t="shared" si="31"/>
        <v>19474</v>
      </c>
      <c r="N33" s="148"/>
      <c r="O33" s="102">
        <f>M12-$L$11</f>
        <v>9636.8333333333321</v>
      </c>
      <c r="P33" s="102">
        <f t="shared" si="32"/>
        <v>9636.8333333333321</v>
      </c>
      <c r="Q33" s="102"/>
      <c r="R33" s="102">
        <f>N12-$L$11</f>
        <v>2436.2666666666646</v>
      </c>
      <c r="S33" s="103">
        <f t="shared" si="33"/>
        <v>2436.2666666666646</v>
      </c>
    </row>
    <row r="34" spans="11:19" x14ac:dyDescent="0.2">
      <c r="K34" s="84" t="s">
        <v>26</v>
      </c>
      <c r="L34" s="196">
        <f>L16-$L$16</f>
        <v>0</v>
      </c>
      <c r="M34" s="102">
        <f t="shared" si="31"/>
        <v>0</v>
      </c>
      <c r="N34" s="148"/>
      <c r="O34" s="196">
        <f>M16-$L$16</f>
        <v>-1330.9993528533942</v>
      </c>
      <c r="P34" s="102">
        <f t="shared" si="32"/>
        <v>-1330.9993528533942</v>
      </c>
      <c r="Q34" s="148"/>
      <c r="R34" s="196">
        <f>N16-$L$16</f>
        <v>-1344.4044446794323</v>
      </c>
      <c r="S34" s="103">
        <f t="shared" si="33"/>
        <v>-1344.4044446794323</v>
      </c>
    </row>
    <row r="35" spans="11:19" x14ac:dyDescent="0.2">
      <c r="K35" s="84" t="s">
        <v>27</v>
      </c>
      <c r="L35" s="196">
        <f>L17-$L$16</f>
        <v>19474</v>
      </c>
      <c r="M35" s="102">
        <f t="shared" si="31"/>
        <v>19474</v>
      </c>
      <c r="N35" s="148"/>
      <c r="O35" s="196">
        <f>M17-$L$16</f>
        <v>7621.9991639994005</v>
      </c>
      <c r="P35" s="102">
        <f t="shared" si="32"/>
        <v>7621.9991639994005</v>
      </c>
      <c r="Q35" s="148"/>
      <c r="R35" s="196">
        <f>N17-$L$16</f>
        <v>2906.6749994326556</v>
      </c>
      <c r="S35" s="103">
        <f t="shared" si="33"/>
        <v>2906.6749994326556</v>
      </c>
    </row>
    <row r="36" spans="11:19" x14ac:dyDescent="0.2">
      <c r="K36" s="84" t="s">
        <v>74</v>
      </c>
      <c r="L36" s="102">
        <f>L21-$L$21</f>
        <v>0</v>
      </c>
      <c r="M36" s="102">
        <f t="shared" si="31"/>
        <v>0</v>
      </c>
      <c r="N36" s="102"/>
      <c r="O36" s="102">
        <f>M21-$L$21</f>
        <v>-1013.2182860974262</v>
      </c>
      <c r="P36" s="102">
        <f>O36</f>
        <v>-1013.2182860974262</v>
      </c>
      <c r="Q36" s="102"/>
      <c r="R36" s="102">
        <f>N21-$L$21</f>
        <v>-862.41787866890263</v>
      </c>
      <c r="S36" s="103">
        <f>R36</f>
        <v>-862.41787866890263</v>
      </c>
    </row>
    <row r="37" spans="11:19" ht="17" thickBot="1" x14ac:dyDescent="0.25">
      <c r="K37" s="84" t="s">
        <v>75</v>
      </c>
      <c r="L37" s="102">
        <f>L22-$L$21</f>
        <v>19474</v>
      </c>
      <c r="M37" s="102">
        <f>L37</f>
        <v>19474</v>
      </c>
      <c r="N37" s="102"/>
      <c r="O37" s="102">
        <f>M22-$L$21</f>
        <v>7613.1588021546859</v>
      </c>
      <c r="P37" s="102">
        <f>O37</f>
        <v>7613.1588021546859</v>
      </c>
      <c r="Q37" s="102"/>
      <c r="R37" s="102">
        <f>N22-$L$21</f>
        <v>3239.7831344361148</v>
      </c>
      <c r="S37" s="103">
        <f>R37</f>
        <v>3239.7831344361148</v>
      </c>
    </row>
    <row r="38" spans="11:19" ht="17" thickBot="1" x14ac:dyDescent="0.25">
      <c r="K38" s="80"/>
      <c r="L38" s="253" t="s">
        <v>66</v>
      </c>
      <c r="M38" s="253"/>
      <c r="N38" s="253"/>
      <c r="O38" s="253"/>
      <c r="P38" s="253"/>
      <c r="Q38" s="253"/>
      <c r="R38" s="253"/>
      <c r="S38" s="254"/>
    </row>
    <row r="39" spans="11:19" x14ac:dyDescent="0.2">
      <c r="K39" s="81"/>
      <c r="L39" s="251" t="s">
        <v>10</v>
      </c>
      <c r="M39" s="251"/>
      <c r="N39" s="26"/>
      <c r="O39" s="251" t="s">
        <v>5</v>
      </c>
      <c r="P39" s="251"/>
      <c r="Q39" s="26"/>
      <c r="R39" s="251" t="s">
        <v>6</v>
      </c>
      <c r="S39" s="252"/>
    </row>
    <row r="40" spans="11:19" x14ac:dyDescent="0.2">
      <c r="K40" s="81"/>
      <c r="L40" s="22">
        <v>1</v>
      </c>
      <c r="M40" s="22">
        <v>2</v>
      </c>
      <c r="N40" s="22"/>
      <c r="O40" s="22">
        <f>M40+0.25</f>
        <v>2.25</v>
      </c>
      <c r="P40" s="22">
        <f>O40+1</f>
        <v>3.25</v>
      </c>
      <c r="Q40" s="22"/>
      <c r="R40" s="22">
        <f>P40+0.25</f>
        <v>3.5</v>
      </c>
      <c r="S40" s="79">
        <f>R40+1</f>
        <v>4.5</v>
      </c>
    </row>
    <row r="41" spans="11:19" x14ac:dyDescent="0.2">
      <c r="K41" s="82" t="s">
        <v>29</v>
      </c>
      <c r="L41" s="185">
        <f>AVERAGE(B11:B12)-AVERAGE($B$11:$B$12)</f>
        <v>0</v>
      </c>
      <c r="M41" s="185">
        <f>L41</f>
        <v>0</v>
      </c>
      <c r="N41" s="185"/>
      <c r="O41" s="185">
        <f>AVERAGE(C11:C12)-AVERAGE($B$11:$B$12)</f>
        <v>-2368</v>
      </c>
      <c r="P41" s="185">
        <f>O41</f>
        <v>-2368</v>
      </c>
      <c r="Q41" s="185"/>
      <c r="R41" s="185">
        <f>AVERAGE(D11:D12)-AVERAGE($B$11:$B$12)</f>
        <v>-1719</v>
      </c>
      <c r="S41" s="186">
        <f>R41</f>
        <v>-1719</v>
      </c>
    </row>
    <row r="42" spans="11:19" x14ac:dyDescent="0.2">
      <c r="K42" s="82" t="s">
        <v>28</v>
      </c>
      <c r="L42" s="185">
        <f>AVERAGE(B13:B14)-AVERAGE($B$11:$B$12)</f>
        <v>15944</v>
      </c>
      <c r="M42" s="185">
        <f t="shared" ref="M42:M50" si="34">L42</f>
        <v>15944</v>
      </c>
      <c r="N42" s="185"/>
      <c r="O42" s="185">
        <f>AVERAGE(C13:C14)-AVERAGE($B$11:$B$12)</f>
        <v>7064</v>
      </c>
      <c r="P42" s="185">
        <f t="shared" ref="P42:P50" si="35">O42</f>
        <v>7064</v>
      </c>
      <c r="Q42" s="185"/>
      <c r="R42" s="185">
        <f>AVERAGE(D13:D14)-AVERAGE($B$11:$B$12)</f>
        <v>2202</v>
      </c>
      <c r="S42" s="186">
        <f t="shared" ref="S42:S50" si="36">R42</f>
        <v>2202</v>
      </c>
    </row>
    <row r="43" spans="11:19" x14ac:dyDescent="0.2">
      <c r="K43" s="83" t="s">
        <v>24</v>
      </c>
      <c r="L43" s="185">
        <f>O7-$O$7</f>
        <v>0</v>
      </c>
      <c r="M43" s="185">
        <f t="shared" si="34"/>
        <v>0</v>
      </c>
      <c r="O43" s="185">
        <f>P7-$O$7</f>
        <v>-2368</v>
      </c>
      <c r="P43" s="185">
        <f t="shared" si="35"/>
        <v>-2368</v>
      </c>
      <c r="Q43" s="185"/>
      <c r="R43" s="185">
        <f>Q7-$O$7</f>
        <v>-2725.8666666666686</v>
      </c>
      <c r="S43" s="186">
        <f t="shared" si="36"/>
        <v>-2725.8666666666686</v>
      </c>
    </row>
    <row r="44" spans="11:19" x14ac:dyDescent="0.2">
      <c r="K44" s="83" t="s">
        <v>25</v>
      </c>
      <c r="L44" s="185">
        <f>O8-$O$7</f>
        <v>15944</v>
      </c>
      <c r="M44" s="185">
        <f t="shared" si="34"/>
        <v>15944</v>
      </c>
      <c r="O44" s="185">
        <f>P8-$O$7</f>
        <v>8261.3333333333321</v>
      </c>
      <c r="P44" s="185">
        <f t="shared" si="35"/>
        <v>8261.3333333333321</v>
      </c>
      <c r="Q44" s="185"/>
      <c r="R44" s="185">
        <f>Q8-$O$7</f>
        <v>2588.7999999999984</v>
      </c>
      <c r="S44" s="186">
        <f t="shared" si="36"/>
        <v>2588.7999999999984</v>
      </c>
    </row>
    <row r="45" spans="11:19" x14ac:dyDescent="0.2">
      <c r="K45" s="83" t="s">
        <v>76</v>
      </c>
      <c r="L45" s="185">
        <f>O11-$O$11</f>
        <v>0</v>
      </c>
      <c r="M45" s="185">
        <f t="shared" si="34"/>
        <v>0</v>
      </c>
      <c r="O45" s="185">
        <f>P11-$O$11</f>
        <v>-2966.6666666666661</v>
      </c>
      <c r="P45" s="185">
        <f t="shared" si="35"/>
        <v>-2966.6666666666661</v>
      </c>
      <c r="Q45" s="185"/>
      <c r="R45" s="185">
        <f>Q11-$O$11</f>
        <v>-3683.7333333333336</v>
      </c>
      <c r="S45" s="186">
        <f t="shared" si="36"/>
        <v>-3683.7333333333336</v>
      </c>
    </row>
    <row r="46" spans="11:19" x14ac:dyDescent="0.2">
      <c r="K46" s="83" t="s">
        <v>77</v>
      </c>
      <c r="L46" s="185">
        <f>O12-$O$11</f>
        <v>15944</v>
      </c>
      <c r="M46" s="185">
        <f t="shared" si="34"/>
        <v>15944</v>
      </c>
      <c r="O46" s="185">
        <f>P12-$O$11</f>
        <v>7662.6666666666661</v>
      </c>
      <c r="P46" s="185">
        <f t="shared" si="35"/>
        <v>7662.6666666666661</v>
      </c>
      <c r="Q46" s="185"/>
      <c r="R46" s="185">
        <f>Q12-$O$11</f>
        <v>1630.9333333333334</v>
      </c>
      <c r="S46" s="186">
        <f t="shared" si="36"/>
        <v>1630.9333333333334</v>
      </c>
    </row>
    <row r="47" spans="11:19" x14ac:dyDescent="0.2">
      <c r="K47" s="84" t="s">
        <v>26</v>
      </c>
      <c r="L47" s="185">
        <f>O16-$O$16</f>
        <v>0</v>
      </c>
      <c r="M47" s="185">
        <f t="shared" si="34"/>
        <v>0</v>
      </c>
      <c r="O47" s="185">
        <f>P16-$O$16</f>
        <v>-2368.0007255074124</v>
      </c>
      <c r="P47" s="185">
        <f t="shared" si="35"/>
        <v>-2368.0007255074124</v>
      </c>
      <c r="Q47" s="185"/>
      <c r="R47" s="185">
        <f>Q16-$O$16</f>
        <v>-2946.2048334475512</v>
      </c>
      <c r="S47" s="186">
        <f t="shared" si="36"/>
        <v>-2946.2048334475512</v>
      </c>
    </row>
    <row r="48" spans="11:19" x14ac:dyDescent="0.2">
      <c r="K48" s="84" t="s">
        <v>27</v>
      </c>
      <c r="L48" s="185">
        <f>O17-$O$16</f>
        <v>15943.999999999998</v>
      </c>
      <c r="M48" s="185">
        <f t="shared" si="34"/>
        <v>15943.999999999998</v>
      </c>
      <c r="O48" s="185">
        <f>P17-$O$16</f>
        <v>7063.9985081708801</v>
      </c>
      <c r="P48" s="185">
        <f t="shared" si="35"/>
        <v>7063.9985081708801</v>
      </c>
      <c r="Q48" s="185"/>
      <c r="R48" s="185">
        <f>Q17-$O$16</f>
        <v>1574.7229073287508</v>
      </c>
      <c r="S48" s="186">
        <f t="shared" si="36"/>
        <v>1574.7229073287508</v>
      </c>
    </row>
    <row r="49" spans="11:19" x14ac:dyDescent="0.2">
      <c r="K49" s="84" t="s">
        <v>74</v>
      </c>
      <c r="L49" s="185">
        <f>O21-$O$21</f>
        <v>0</v>
      </c>
      <c r="M49" s="185">
        <f t="shared" si="34"/>
        <v>0</v>
      </c>
      <c r="O49" s="185">
        <f>P21-$O$21</f>
        <v>-1707.0156092027992</v>
      </c>
      <c r="P49" s="185">
        <f t="shared" si="35"/>
        <v>-1707.0156092027992</v>
      </c>
      <c r="Q49" s="185"/>
      <c r="R49" s="185">
        <f>Q21-$O$21</f>
        <v>-1961.1764336224423</v>
      </c>
      <c r="S49" s="186">
        <f t="shared" si="36"/>
        <v>-1961.1764336224423</v>
      </c>
    </row>
    <row r="50" spans="11:19" ht="17" thickBot="1" x14ac:dyDescent="0.25">
      <c r="K50" s="84" t="s">
        <v>75</v>
      </c>
      <c r="L50" s="185">
        <f>O22-$O$21</f>
        <v>15944</v>
      </c>
      <c r="M50" s="185">
        <f t="shared" si="34"/>
        <v>15944</v>
      </c>
      <c r="O50" s="185">
        <f>P22-$O$21</f>
        <v>7061.1883785544151</v>
      </c>
      <c r="P50" s="185">
        <f t="shared" si="35"/>
        <v>7061.1883785544151</v>
      </c>
      <c r="Q50" s="185"/>
      <c r="R50" s="185">
        <f>Q22-$O$21</f>
        <v>2205.1859429395063</v>
      </c>
      <c r="S50" s="186">
        <f t="shared" si="36"/>
        <v>2205.1859429395063</v>
      </c>
    </row>
    <row r="51" spans="11:19" ht="17" thickBot="1" x14ac:dyDescent="0.25">
      <c r="K51" s="80"/>
      <c r="L51" s="271" t="s">
        <v>67</v>
      </c>
      <c r="M51" s="271"/>
      <c r="N51" s="271"/>
      <c r="O51" s="271"/>
      <c r="P51" s="271"/>
      <c r="Q51" s="271"/>
      <c r="R51" s="271"/>
      <c r="S51" s="272"/>
    </row>
    <row r="52" spans="11:19" x14ac:dyDescent="0.2">
      <c r="K52" s="81"/>
      <c r="L52" s="269" t="s">
        <v>10</v>
      </c>
      <c r="M52" s="269"/>
      <c r="N52" s="197"/>
      <c r="O52" s="269" t="s">
        <v>5</v>
      </c>
      <c r="P52" s="269"/>
      <c r="Q52" s="197"/>
      <c r="R52" s="269" t="s">
        <v>6</v>
      </c>
      <c r="S52" s="270"/>
    </row>
    <row r="53" spans="11:19" x14ac:dyDescent="0.2">
      <c r="K53" s="81"/>
      <c r="L53" s="102">
        <v>1</v>
      </c>
      <c r="M53" s="102">
        <v>2</v>
      </c>
      <c r="N53" s="102"/>
      <c r="O53" s="102">
        <f>M53+0.25</f>
        <v>2.25</v>
      </c>
      <c r="P53" s="102">
        <f>O53+1</f>
        <v>3.25</v>
      </c>
      <c r="Q53" s="102"/>
      <c r="R53" s="102">
        <f>P53+0.25</f>
        <v>3.5</v>
      </c>
      <c r="S53" s="103">
        <f>R53+1</f>
        <v>4.5</v>
      </c>
    </row>
    <row r="54" spans="11:19" x14ac:dyDescent="0.2">
      <c r="K54" s="82" t="s">
        <v>29</v>
      </c>
      <c r="L54" s="185">
        <f>AVERAGE(B18:B19)-AVERAGE($B$18:$B$19)</f>
        <v>0</v>
      </c>
      <c r="M54" s="185">
        <f>L54</f>
        <v>0</v>
      </c>
      <c r="N54" s="185"/>
      <c r="O54" s="185">
        <f>AVERAGE(C18:C19)-AVERAGE($B$18:$B$19)</f>
        <v>-3123</v>
      </c>
      <c r="P54" s="185">
        <f>O54</f>
        <v>-3123</v>
      </c>
      <c r="Q54" s="185"/>
      <c r="R54" s="185">
        <f>AVERAGE(D18:D19)-AVERAGE($B$18:$B$19)</f>
        <v>-2225</v>
      </c>
      <c r="S54" s="186">
        <f>R54</f>
        <v>-2225</v>
      </c>
    </row>
    <row r="55" spans="11:19" x14ac:dyDescent="0.2">
      <c r="K55" s="82" t="s">
        <v>28</v>
      </c>
      <c r="L55" s="185">
        <f>AVERAGE(B20:B21)-AVERAGE($B$18:$B$19)</f>
        <v>16478</v>
      </c>
      <c r="M55" s="185">
        <f t="shared" ref="M55:M63" si="37">L55</f>
        <v>16478</v>
      </c>
      <c r="N55" s="185"/>
      <c r="O55" s="185">
        <f>AVERAGE(C20:C21)-AVERAGE($B$18:$B$19)</f>
        <v>7036</v>
      </c>
      <c r="P55" s="185">
        <f t="shared" ref="P55:P63" si="38">O55</f>
        <v>7036</v>
      </c>
      <c r="Q55" s="185"/>
      <c r="R55" s="185">
        <f>AVERAGE(D20:D21)-AVERAGE($B$18:$B$19)</f>
        <v>1667</v>
      </c>
      <c r="S55" s="186">
        <f t="shared" ref="S55:S63" si="39">R55</f>
        <v>1667</v>
      </c>
    </row>
    <row r="56" spans="11:19" x14ac:dyDescent="0.2">
      <c r="K56" s="83" t="s">
        <v>24</v>
      </c>
      <c r="L56" s="185">
        <f>R7-$R$7</f>
        <v>0</v>
      </c>
      <c r="M56" s="185">
        <f t="shared" si="37"/>
        <v>0</v>
      </c>
      <c r="N56" s="185"/>
      <c r="O56" s="185">
        <f>S7-$R$7</f>
        <v>-3123</v>
      </c>
      <c r="P56" s="185">
        <f t="shared" si="38"/>
        <v>-3123</v>
      </c>
      <c r="Q56" s="185"/>
      <c r="R56" s="185">
        <f>T7-$R$7</f>
        <v>-3898.2666666666664</v>
      </c>
      <c r="S56" s="186">
        <f t="shared" si="39"/>
        <v>-3898.2666666666664</v>
      </c>
    </row>
    <row r="57" spans="11:19" x14ac:dyDescent="0.2">
      <c r="K57" s="83" t="s">
        <v>25</v>
      </c>
      <c r="L57" s="185">
        <f>R8-$R$7</f>
        <v>16478</v>
      </c>
      <c r="M57" s="185">
        <f t="shared" si="37"/>
        <v>16478</v>
      </c>
      <c r="N57" s="185"/>
      <c r="O57" s="185">
        <f>S8-$R$7</f>
        <v>7862.3333333333321</v>
      </c>
      <c r="P57" s="185">
        <f t="shared" si="38"/>
        <v>7862.3333333333321</v>
      </c>
      <c r="Q57" s="185"/>
      <c r="R57" s="185">
        <f>T8-$R$7</f>
        <v>1594.3999999999987</v>
      </c>
      <c r="S57" s="186">
        <f t="shared" si="39"/>
        <v>1594.3999999999987</v>
      </c>
    </row>
    <row r="58" spans="11:19" x14ac:dyDescent="0.2">
      <c r="K58" s="83" t="s">
        <v>76</v>
      </c>
      <c r="L58" s="185">
        <f>R11-$R$11</f>
        <v>0</v>
      </c>
      <c r="M58" s="185">
        <f t="shared" si="37"/>
        <v>0</v>
      </c>
      <c r="N58" s="1"/>
      <c r="O58" s="185">
        <f>S11-$R$11</f>
        <v>-3536.1666666666661</v>
      </c>
      <c r="P58" s="185">
        <f t="shared" si="38"/>
        <v>-3536.1666666666661</v>
      </c>
      <c r="Q58" s="185"/>
      <c r="R58" s="185">
        <f>T11-$R$11</f>
        <v>-4559.3333333333321</v>
      </c>
      <c r="S58" s="186">
        <f t="shared" si="39"/>
        <v>-4559.3333333333321</v>
      </c>
    </row>
    <row r="59" spans="11:19" x14ac:dyDescent="0.2">
      <c r="K59" s="83" t="s">
        <v>77</v>
      </c>
      <c r="L59" s="185">
        <f>R12-$R$11</f>
        <v>16478</v>
      </c>
      <c r="M59" s="185">
        <f t="shared" si="37"/>
        <v>16478</v>
      </c>
      <c r="N59" s="1"/>
      <c r="O59" s="185">
        <f>S12-$R$11</f>
        <v>7449.1666666666661</v>
      </c>
      <c r="P59" s="185">
        <f t="shared" si="38"/>
        <v>7449.1666666666661</v>
      </c>
      <c r="Q59" s="185"/>
      <c r="R59" s="185">
        <f>T12-$R$11</f>
        <v>933.33333333333303</v>
      </c>
      <c r="S59" s="186">
        <f t="shared" si="39"/>
        <v>933.33333333333303</v>
      </c>
    </row>
    <row r="60" spans="11:19" x14ac:dyDescent="0.2">
      <c r="K60" s="84" t="s">
        <v>26</v>
      </c>
      <c r="L60" s="185">
        <f>R16-$R$16</f>
        <v>0</v>
      </c>
      <c r="M60" s="185">
        <f t="shared" si="37"/>
        <v>0</v>
      </c>
      <c r="O60" s="185">
        <f>S16-$R$16</f>
        <v>-3122.9994460657199</v>
      </c>
      <c r="P60" s="185">
        <f t="shared" si="38"/>
        <v>-3122.9994460657199</v>
      </c>
      <c r="Q60" s="185"/>
      <c r="R60" s="185">
        <f>T16-$R$16</f>
        <v>-4071.1986364662771</v>
      </c>
      <c r="S60" s="186">
        <f t="shared" si="39"/>
        <v>-4071.1986364662771</v>
      </c>
    </row>
    <row r="61" spans="11:19" x14ac:dyDescent="0.2">
      <c r="K61" s="84" t="s">
        <v>27</v>
      </c>
      <c r="L61" s="185">
        <f>R17-$R$16</f>
        <v>16478</v>
      </c>
      <c r="M61" s="185">
        <f t="shared" si="37"/>
        <v>16478</v>
      </c>
      <c r="O61" s="185">
        <f>S17-$R$16</f>
        <v>7035.9989308355753</v>
      </c>
      <c r="P61" s="185">
        <f t="shared" si="38"/>
        <v>7035.9989308355753</v>
      </c>
      <c r="Q61" s="185"/>
      <c r="R61" s="185">
        <f>T17-$R$16</f>
        <v>843.94724730798589</v>
      </c>
      <c r="S61" s="186">
        <f t="shared" si="39"/>
        <v>843.94724730798589</v>
      </c>
    </row>
    <row r="62" spans="11:19" x14ac:dyDescent="0.2">
      <c r="K62" s="84" t="s">
        <v>74</v>
      </c>
      <c r="L62" s="198">
        <f>R21-$R$21</f>
        <v>0</v>
      </c>
      <c r="M62" s="185">
        <f t="shared" si="37"/>
        <v>0</v>
      </c>
      <c r="N62" s="1"/>
      <c r="O62" s="198">
        <f>S21-$R$21</f>
        <v>-2214.9196293139321</v>
      </c>
      <c r="P62" s="185">
        <f t="shared" si="38"/>
        <v>-2214.9196293139321</v>
      </c>
      <c r="Q62" s="1"/>
      <c r="R62" s="198">
        <f>T21-$R$21</f>
        <v>-2728.763743569154</v>
      </c>
      <c r="S62" s="186">
        <f t="shared" si="39"/>
        <v>-2728.763743569154</v>
      </c>
    </row>
    <row r="63" spans="11:19" ht="17" thickBot="1" x14ac:dyDescent="0.25">
      <c r="K63" s="85" t="s">
        <v>75</v>
      </c>
      <c r="L63" s="199">
        <f>R22-$R$21</f>
        <v>16478</v>
      </c>
      <c r="M63" s="200">
        <f t="shared" si="37"/>
        <v>16478</v>
      </c>
      <c r="N63" s="2"/>
      <c r="O63" s="199">
        <f>S22-$R$21</f>
        <v>7036.4456433205269</v>
      </c>
      <c r="P63" s="200">
        <f t="shared" si="38"/>
        <v>7036.4456433205269</v>
      </c>
      <c r="Q63" s="2"/>
      <c r="R63" s="199">
        <f>T22-$R$21</f>
        <v>1674.6069413881651</v>
      </c>
      <c r="S63" s="201">
        <f t="shared" si="39"/>
        <v>1674.6069413881651</v>
      </c>
    </row>
  </sheetData>
  <mergeCells count="23">
    <mergeCell ref="L52:M52"/>
    <mergeCell ref="O52:P52"/>
    <mergeCell ref="R52:S52"/>
    <mergeCell ref="L38:S38"/>
    <mergeCell ref="L39:M39"/>
    <mergeCell ref="O39:P39"/>
    <mergeCell ref="R39:S39"/>
    <mergeCell ref="L51:S51"/>
    <mergeCell ref="X3:Z3"/>
    <mergeCell ref="K24:S24"/>
    <mergeCell ref="L25:S25"/>
    <mergeCell ref="L26:M26"/>
    <mergeCell ref="O26:P26"/>
    <mergeCell ref="R26:S26"/>
    <mergeCell ref="B16:D16"/>
    <mergeCell ref="B9:D9"/>
    <mergeCell ref="F2:I2"/>
    <mergeCell ref="F10:I10"/>
    <mergeCell ref="K2:T2"/>
    <mergeCell ref="B2:D2"/>
    <mergeCell ref="L3:N3"/>
    <mergeCell ref="O3:Q3"/>
    <mergeCell ref="R3:T3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6" workbookViewId="0">
      <selection activeCell="F47" sqref="F47"/>
    </sheetView>
  </sheetViews>
  <sheetFormatPr baseColWidth="10" defaultRowHeight="16" x14ac:dyDescent="0.2"/>
  <sheetData>
    <row r="1" spans="1:8" x14ac:dyDescent="0.2">
      <c r="A1">
        <f>'Parameter Extraction'!N19*Summary!$B$3</f>
        <v>0</v>
      </c>
      <c r="B1">
        <f>'Parameter Extraction'!O19*Summary!$B$3</f>
        <v>0</v>
      </c>
      <c r="D1">
        <f>'Parameter Extraction'!Q19*Summary!$B$3</f>
        <v>-1705.2371048960595</v>
      </c>
      <c r="E1">
        <f>'Parameter Extraction'!R19*Summary!$B$3</f>
        <v>-1705.2371048960595</v>
      </c>
      <c r="G1">
        <f>'Parameter Extraction'!T19*Summary!$B$3</f>
        <v>-982.72976154123626</v>
      </c>
      <c r="H1">
        <f>'Parameter Extraction'!U19*Summary!$B$3</f>
        <v>-982.72976154123626</v>
      </c>
    </row>
    <row r="2" spans="1:8" x14ac:dyDescent="0.2">
      <c r="A2">
        <f>'Parameter Extraction'!N20*Summary!$B$3</f>
        <v>18230.839069816786</v>
      </c>
      <c r="B2">
        <f>'Parameter Extraction'!O20*Summary!$B$3</f>
        <v>18230.839069816786</v>
      </c>
      <c r="D2">
        <f>'Parameter Extraction'!Q20*Summary!$B$3</f>
        <v>8196.8157985375456</v>
      </c>
      <c r="E2">
        <f>'Parameter Extraction'!R20*Summary!$B$3</f>
        <v>8196.8157985375456</v>
      </c>
      <c r="G2">
        <f>'Parameter Extraction'!T20*Summary!$B$3</f>
        <v>3308.5558464352744</v>
      </c>
      <c r="H2">
        <f>'Parameter Extraction'!U20*Summary!$B$3</f>
        <v>3308.5558464352744</v>
      </c>
    </row>
    <row r="3" spans="1:8" x14ac:dyDescent="0.2">
      <c r="A3">
        <f>'Parameter Extraction'!N21*Summary!$B$3</f>
        <v>16326.929291812779</v>
      </c>
      <c r="B3">
        <f>'Parameter Extraction'!O21*Summary!$B$3</f>
        <v>16326.929291812779</v>
      </c>
      <c r="D3">
        <f>'Parameter Extraction'!Q21*Summary!$B$3</f>
        <v>6681.2268975088955</v>
      </c>
      <c r="E3">
        <f>'Parameter Extraction'!R21*Summary!$B$3</f>
        <v>6681.2268975088955</v>
      </c>
      <c r="G3">
        <f>'Parameter Extraction'!T21*Summary!$B$3</f>
        <v>4384.6987834337597</v>
      </c>
      <c r="H3">
        <f>'Parameter Extraction'!U21*Summary!$B$3</f>
        <v>4384.6987834337597</v>
      </c>
    </row>
    <row r="4" spans="1:8" x14ac:dyDescent="0.2">
      <c r="A4">
        <f>'Parameter Extraction'!N22*Summary!$B$3</f>
        <v>16529.937161540216</v>
      </c>
      <c r="B4">
        <f>'Parameter Extraction'!O22*Summary!$B$3</f>
        <v>16529.937161540216</v>
      </c>
      <c r="D4">
        <f>'Parameter Extraction'!Q22*Summary!$B$3</f>
        <v>6796.2899231453093</v>
      </c>
      <c r="E4">
        <f>'Parameter Extraction'!R22*Summary!$B$3</f>
        <v>6796.2899231453093</v>
      </c>
      <c r="G4">
        <f>'Parameter Extraction'!T22*Summary!$B$3</f>
        <v>4484.7769912382773</v>
      </c>
      <c r="H4">
        <f>'Parameter Extraction'!U22*Summary!$B$3</f>
        <v>4484.7769912382773</v>
      </c>
    </row>
    <row r="5" spans="1:8" x14ac:dyDescent="0.2">
      <c r="A5">
        <f>'Parameter Extraction'!N23*Summary!$B$3</f>
        <v>0</v>
      </c>
      <c r="B5">
        <f>'Parameter Extraction'!O23*Summary!$B$3</f>
        <v>0</v>
      </c>
      <c r="D5">
        <f>'Parameter Extraction'!Q23*Summary!$B$3</f>
        <v>-1705.2371048960595</v>
      </c>
      <c r="E5">
        <f>'Parameter Extraction'!R23*Summary!$B$3</f>
        <v>-1705.2371048960595</v>
      </c>
      <c r="G5">
        <f>'Parameter Extraction'!T23*Summary!$B$3</f>
        <v>-1512.990096512576</v>
      </c>
      <c r="H5">
        <f>'Parameter Extraction'!U23*Summary!$B$3</f>
        <v>-1512.990096512576</v>
      </c>
    </row>
    <row r="6" spans="1:8" x14ac:dyDescent="0.2">
      <c r="A6">
        <f>'Parameter Extraction'!N24*Summary!$B$3</f>
        <v>18230.839069816786</v>
      </c>
      <c r="B6">
        <f>'Parameter Extraction'!O24*Summary!$B$3</f>
        <v>18230.839069816786</v>
      </c>
      <c r="D6">
        <f>'Parameter Extraction'!Q24*Summary!$B$3</f>
        <v>10448.65560831513</v>
      </c>
      <c r="E6">
        <f>'Parameter Extraction'!R24*Summary!$B$3</f>
        <v>10448.65560831513</v>
      </c>
      <c r="G6">
        <f>'Parameter Extraction'!T24*Summary!$B$3</f>
        <v>4563.9562600930185</v>
      </c>
      <c r="H6">
        <f>'Parameter Extraction'!U24*Summary!$B$3</f>
        <v>4563.9562600930185</v>
      </c>
    </row>
    <row r="7" spans="1:8" x14ac:dyDescent="0.2">
      <c r="A7">
        <f>'Parameter Extraction'!N25*Summary!$B$3</f>
        <v>0</v>
      </c>
      <c r="B7">
        <f>'Parameter Extraction'!O25*Summary!$B$3</f>
        <v>0</v>
      </c>
      <c r="D7">
        <f>'Parameter Extraction'!Q25*Summary!$B$3</f>
        <v>-1705.2862750913935</v>
      </c>
      <c r="E7">
        <f>'Parameter Extraction'!R25*Summary!$B$3</f>
        <v>-1705.2862750913935</v>
      </c>
      <c r="G7">
        <f>'Parameter Extraction'!T25*Summary!$B$3</f>
        <v>-1860.1101257050295</v>
      </c>
      <c r="H7">
        <f>'Parameter Extraction'!U25*Summary!$B$3</f>
        <v>-1860.1101257050295</v>
      </c>
    </row>
    <row r="8" spans="1:8" x14ac:dyDescent="0.2">
      <c r="A8">
        <f>'Parameter Extraction'!N26*Summary!$B$3</f>
        <v>18230.839069816786</v>
      </c>
      <c r="B8">
        <f>'Parameter Extraction'!O26*Summary!$B$3</f>
        <v>18230.839069816786</v>
      </c>
      <c r="D8">
        <f>'Parameter Extraction'!Q26*Summary!$B$3</f>
        <v>8196.8157933533257</v>
      </c>
      <c r="E8">
        <f>'Parameter Extraction'!R26*Summary!$B$3</f>
        <v>8196.8157933533257</v>
      </c>
      <c r="G8">
        <f>'Parameter Extraction'!T26*Summary!$B$3</f>
        <v>2841.3818835144166</v>
      </c>
      <c r="H8">
        <f>'Parameter Extraction'!U26*Summary!$B$3</f>
        <v>2841.3818835144166</v>
      </c>
    </row>
    <row r="12" spans="1:8" x14ac:dyDescent="0.2">
      <c r="A12">
        <f>'Parameter Extraction'!N30*Summary!$B$3</f>
        <v>0</v>
      </c>
      <c r="B12">
        <f>'Parameter Extraction'!O30*Summary!$B$3</f>
        <v>0</v>
      </c>
      <c r="D12">
        <f>'Parameter Extraction'!Q30*Summary!$B$3</f>
        <v>-929.43679362681451</v>
      </c>
      <c r="E12">
        <f>'Parameter Extraction'!R30*Summary!$B$3</f>
        <v>-929.43679362681451</v>
      </c>
      <c r="G12">
        <f>'Parameter Extraction'!T30*Summary!$B$3</f>
        <v>-430.02657231759258</v>
      </c>
      <c r="H12">
        <f>'Parameter Extraction'!U30*Summary!$B$3</f>
        <v>-430.02657231759258</v>
      </c>
    </row>
    <row r="13" spans="1:8" x14ac:dyDescent="0.2">
      <c r="A13">
        <f>'Parameter Extraction'!N31*Summary!$B$3</f>
        <v>11113.89759274075</v>
      </c>
      <c r="B13">
        <f>'Parameter Extraction'!O31*Summary!$B$3</f>
        <v>11113.89759274075</v>
      </c>
      <c r="D13">
        <f>'Parameter Extraction'!Q31*Summary!$B$3</f>
        <v>5965.4487759222775</v>
      </c>
      <c r="E13">
        <f>'Parameter Extraction'!R31*Summary!$B$3</f>
        <v>5965.4487759222775</v>
      </c>
      <c r="G13">
        <f>'Parameter Extraction'!T31*Summary!$B$3</f>
        <v>2720.3050227080439</v>
      </c>
      <c r="H13">
        <f>'Parameter Extraction'!U31*Summary!$B$3</f>
        <v>2720.3050227080439</v>
      </c>
    </row>
    <row r="14" spans="1:8" x14ac:dyDescent="0.2">
      <c r="A14">
        <f>'Parameter Extraction'!N32*Summary!$B$3</f>
        <v>10834.983524854648</v>
      </c>
      <c r="B14">
        <f>'Parameter Extraction'!O32*Summary!$B$3</f>
        <v>10834.983524854648</v>
      </c>
      <c r="D14">
        <f>'Parameter Extraction'!Q32*Summary!$B$3</f>
        <v>5973.614002139243</v>
      </c>
      <c r="E14">
        <f>'Parameter Extraction'!R32*Summary!$B$3</f>
        <v>5973.614002139243</v>
      </c>
      <c r="G14">
        <f>'Parameter Extraction'!T32*Summary!$B$3</f>
        <v>3875.2384879728879</v>
      </c>
      <c r="H14">
        <f>'Parameter Extraction'!U32*Summary!$B$3</f>
        <v>3875.2384879728879</v>
      </c>
    </row>
    <row r="15" spans="1:8" x14ac:dyDescent="0.2">
      <c r="A15">
        <f>'Parameter Extraction'!N33*Summary!$B$3</f>
        <v>11147.298284617249</v>
      </c>
      <c r="B15">
        <f>'Parameter Extraction'!O33*Summary!$B$3</f>
        <v>11147.298284617249</v>
      </c>
      <c r="D15">
        <f>'Parameter Extraction'!Q33*Summary!$B$3</f>
        <v>6075.5489815440569</v>
      </c>
      <c r="E15">
        <f>'Parameter Extraction'!R33*Summary!$B$3</f>
        <v>6075.5489815440569</v>
      </c>
      <c r="G15">
        <f>'Parameter Extraction'!T33*Summary!$B$3</f>
        <v>4009.2754217418815</v>
      </c>
      <c r="H15">
        <f>'Parameter Extraction'!U33*Summary!$B$3</f>
        <v>4009.2754217418815</v>
      </c>
    </row>
    <row r="16" spans="1:8" x14ac:dyDescent="0.2">
      <c r="A16">
        <f>'Parameter Extraction'!N34*Summary!$B$3</f>
        <v>0</v>
      </c>
      <c r="B16">
        <f>'Parameter Extraction'!O34*Summary!$B$3</f>
        <v>0</v>
      </c>
      <c r="D16">
        <f>'Parameter Extraction'!Q34*Summary!$B$3</f>
        <v>-929.43679362681451</v>
      </c>
      <c r="E16">
        <f>'Parameter Extraction'!R34*Summary!$B$3</f>
        <v>-929.43679362681451</v>
      </c>
      <c r="G16">
        <f>'Parameter Extraction'!T34*Summary!$B$3</f>
        <v>-746.17236362018662</v>
      </c>
      <c r="H16">
        <f>'Parameter Extraction'!U34*Summary!$B$3</f>
        <v>-746.17236362018662</v>
      </c>
    </row>
    <row r="17" spans="1:8" x14ac:dyDescent="0.2">
      <c r="A17">
        <f>'Parameter Extraction'!N35*Summary!$B$3</f>
        <v>11113.89759274075</v>
      </c>
      <c r="B17">
        <f>'Parameter Extraction'!O35*Summary!$B$3</f>
        <v>11113.89759274075</v>
      </c>
      <c r="D17">
        <f>'Parameter Extraction'!Q35*Summary!$B$3</f>
        <v>6479.828268200351</v>
      </c>
      <c r="E17">
        <f>'Parameter Extraction'!R35*Summary!$B$3</f>
        <v>6479.828268200351</v>
      </c>
      <c r="G17">
        <f>'Parameter Extraction'!T35*Summary!$B$3</f>
        <v>2958.4601672933964</v>
      </c>
      <c r="H17">
        <f>'Parameter Extraction'!U35*Summary!$B$3</f>
        <v>2958.4601672933964</v>
      </c>
    </row>
    <row r="18" spans="1:8" x14ac:dyDescent="0.2">
      <c r="A18">
        <f>'Parameter Extraction'!N36*Summary!$B$3</f>
        <v>0</v>
      </c>
      <c r="B18">
        <f>'Parameter Extraction'!O36*Summary!$B$3</f>
        <v>0</v>
      </c>
      <c r="D18">
        <f>'Parameter Extraction'!Q36*Summary!$B$3</f>
        <v>-929.48134473063669</v>
      </c>
      <c r="E18">
        <f>'Parameter Extraction'!R36*Summary!$B$3</f>
        <v>-929.48134473063669</v>
      </c>
      <c r="G18">
        <f>'Parameter Extraction'!T36*Summary!$B$3</f>
        <v>-856.42875026300044</v>
      </c>
      <c r="H18">
        <f>'Parameter Extraction'!U36*Summary!$B$3</f>
        <v>-856.42875026300044</v>
      </c>
    </row>
    <row r="19" spans="1:8" x14ac:dyDescent="0.2">
      <c r="A19">
        <f>'Parameter Extraction'!N37*Summary!$B$3</f>
        <v>11113.89759274075</v>
      </c>
      <c r="B19">
        <f>'Parameter Extraction'!O37*Summary!$B$3</f>
        <v>11113.89759274075</v>
      </c>
      <c r="D19">
        <f>'Parameter Extraction'!Q37*Summary!$B$3</f>
        <v>5965.6097908763368</v>
      </c>
      <c r="E19">
        <f>'Parameter Extraction'!R37*Summary!$B$3</f>
        <v>5965.6097908763368</v>
      </c>
      <c r="G19">
        <f>'Parameter Extraction'!T37*Summary!$B$3</f>
        <v>2485.6033247916662</v>
      </c>
      <c r="H19">
        <f>'Parameter Extraction'!U37*Summary!$B$3</f>
        <v>2485.6033247916662</v>
      </c>
    </row>
    <row r="23" spans="1:8" x14ac:dyDescent="0.2">
      <c r="A23">
        <f>'Parameter Extraction'!N41*Summary!$B$3</f>
        <v>0</v>
      </c>
      <c r="B23">
        <f>'Parameter Extraction'!O41*Summary!$B$3</f>
        <v>0</v>
      </c>
      <c r="D23">
        <f>'Parameter Extraction'!Q41*Summary!$B$3</f>
        <v>-1786.8594073982422</v>
      </c>
      <c r="E23">
        <f>'Parameter Extraction'!R41*Summary!$B$3</f>
        <v>-1786.8594073982422</v>
      </c>
      <c r="G23">
        <f>'Parameter Extraction'!T41*Summary!$B$3</f>
        <v>-1126.0891050501186</v>
      </c>
      <c r="H23">
        <f>'Parameter Extraction'!U41*Summary!$B$3</f>
        <v>-1126.0891050501186</v>
      </c>
    </row>
    <row r="24" spans="1:8" x14ac:dyDescent="0.2">
      <c r="A24">
        <f>'Parameter Extraction'!N42*Summary!$B$3</f>
        <v>17936.500737317147</v>
      </c>
      <c r="B24">
        <f>'Parameter Extraction'!O42*Summary!$B$3</f>
        <v>17936.500737317147</v>
      </c>
      <c r="D24">
        <f>'Parameter Extraction'!Q42*Summary!$B$3</f>
        <v>7893.0245468045996</v>
      </c>
      <c r="E24">
        <f>'Parameter Extraction'!R42*Summary!$B$3</f>
        <v>7893.0245468045996</v>
      </c>
      <c r="G24">
        <f>'Parameter Extraction'!T42*Summary!$B$3</f>
        <v>3035.93178748024</v>
      </c>
      <c r="H24">
        <f>'Parameter Extraction'!U42*Summary!$B$3</f>
        <v>3035.93178748024</v>
      </c>
    </row>
    <row r="25" spans="1:8" x14ac:dyDescent="0.2">
      <c r="A25">
        <f>'Parameter Extraction'!N43*Summary!$B$3</f>
        <v>16082.283435112528</v>
      </c>
      <c r="B25">
        <f>'Parameter Extraction'!O43*Summary!$B$3</f>
        <v>16082.283435112528</v>
      </c>
      <c r="D25">
        <f>'Parameter Extraction'!Q43*Summary!$B$3</f>
        <v>7231.0851782695181</v>
      </c>
      <c r="E25">
        <f>'Parameter Extraction'!R43*Summary!$B$3</f>
        <v>7231.0851782695181</v>
      </c>
      <c r="G25">
        <f>'Parameter Extraction'!T43*Summary!$B$3</f>
        <v>4211.5493967881093</v>
      </c>
      <c r="H25">
        <f>'Parameter Extraction'!U43*Summary!$B$3</f>
        <v>4211.5493967881093</v>
      </c>
    </row>
    <row r="26" spans="1:8" x14ac:dyDescent="0.2">
      <c r="A26">
        <f>'Parameter Extraction'!N44*Summary!$B$3</f>
        <v>16278.176195209016</v>
      </c>
      <c r="B26">
        <f>'Parameter Extraction'!O44*Summary!$B$3</f>
        <v>16278.176195209016</v>
      </c>
      <c r="D26">
        <f>'Parameter Extraction'!Q44*Summary!$B$3</f>
        <v>7355.801748314957</v>
      </c>
      <c r="E26">
        <f>'Parameter Extraction'!R44*Summary!$B$3</f>
        <v>7355.801748314957</v>
      </c>
      <c r="G26">
        <f>'Parameter Extraction'!T44*Summary!$B$3</f>
        <v>4297.3582531225247</v>
      </c>
      <c r="H26">
        <f>'Parameter Extraction'!U44*Summary!$B$3</f>
        <v>4297.3582531225247</v>
      </c>
    </row>
    <row r="27" spans="1:8" x14ac:dyDescent="0.2">
      <c r="A27">
        <f>'Parameter Extraction'!N45*Summary!$B$3</f>
        <v>0</v>
      </c>
      <c r="B27">
        <f>'Parameter Extraction'!O45*Summary!$B$3</f>
        <v>0</v>
      </c>
      <c r="D27">
        <f>'Parameter Extraction'!Q45*Summary!$B$3</f>
        <v>-1786.8594073982422</v>
      </c>
      <c r="E27">
        <f>'Parameter Extraction'!R45*Summary!$B$3</f>
        <v>-1786.8594073982422</v>
      </c>
      <c r="G27">
        <f>'Parameter Extraction'!T45*Summary!$B$3</f>
        <v>-1663.2083360160425</v>
      </c>
      <c r="H27">
        <f>'Parameter Extraction'!U45*Summary!$B$3</f>
        <v>-1663.2083360160425</v>
      </c>
    </row>
    <row r="28" spans="1:8" x14ac:dyDescent="0.2">
      <c r="A28">
        <f>'Parameter Extraction'!N46*Summary!$B$3</f>
        <v>17936.500737317147</v>
      </c>
      <c r="B28">
        <f>'Parameter Extraction'!O46*Summary!$B$3</f>
        <v>17936.500737317147</v>
      </c>
      <c r="D28">
        <f>'Parameter Extraction'!Q46*Summary!$B$3</f>
        <v>10170.80775081319</v>
      </c>
      <c r="E28">
        <f>'Parameter Extraction'!R46*Summary!$B$3</f>
        <v>10170.80775081319</v>
      </c>
      <c r="G28">
        <f>'Parameter Extraction'!T46*Summary!$B$3</f>
        <v>4315.625243089672</v>
      </c>
      <c r="H28">
        <f>'Parameter Extraction'!U46*Summary!$B$3</f>
        <v>4315.625243089672</v>
      </c>
    </row>
    <row r="29" spans="1:8" x14ac:dyDescent="0.2">
      <c r="A29">
        <f>'Parameter Extraction'!N47*Summary!$B$3</f>
        <v>0</v>
      </c>
      <c r="B29">
        <f>'Parameter Extraction'!O47*Summary!$B$3</f>
        <v>0</v>
      </c>
      <c r="D29">
        <f>'Parameter Extraction'!Q47*Summary!$B$3</f>
        <v>-1786.8223648156111</v>
      </c>
      <c r="E29">
        <f>'Parameter Extraction'!R47*Summary!$B$3</f>
        <v>-1786.8223648156111</v>
      </c>
      <c r="G29">
        <f>'Parameter Extraction'!T47*Summary!$B$3</f>
        <v>-2010.6049640157864</v>
      </c>
      <c r="H29">
        <f>'Parameter Extraction'!U47*Summary!$B$3</f>
        <v>-2010.6049640157864</v>
      </c>
    </row>
    <row r="30" spans="1:8" x14ac:dyDescent="0.2">
      <c r="A30">
        <f>'Parameter Extraction'!N48*Summary!$B$3</f>
        <v>17936.500737317147</v>
      </c>
      <c r="B30">
        <f>'Parameter Extraction'!O48*Summary!$B$3</f>
        <v>17936.500737317147</v>
      </c>
      <c r="D30">
        <f>'Parameter Extraction'!Q48*Summary!$B$3</f>
        <v>7893.0182741528752</v>
      </c>
      <c r="E30">
        <f>'Parameter Extraction'!R48*Summary!$B$3</f>
        <v>7893.0182741528752</v>
      </c>
      <c r="G30">
        <f>'Parameter Extraction'!T48*Summary!$B$3</f>
        <v>2583.7920398176825</v>
      </c>
      <c r="H30">
        <f>'Parameter Extraction'!U48*Summary!$B$3</f>
        <v>2583.7920398176825</v>
      </c>
    </row>
    <row r="34" spans="1:8" x14ac:dyDescent="0.2">
      <c r="A34">
        <f>'Parameter Extraction'!N52*Summary!$B$3</f>
        <v>0</v>
      </c>
      <c r="B34">
        <f>'Parameter Extraction'!O52*Summary!$B$3</f>
        <v>0</v>
      </c>
      <c r="D34">
        <f>'Parameter Extraction'!Q52*Summary!$B$3</f>
        <v>-1031.7470874811761</v>
      </c>
      <c r="E34">
        <f>'Parameter Extraction'!R52*Summary!$B$3</f>
        <v>-1031.7470874811761</v>
      </c>
      <c r="G34">
        <f>'Parameter Extraction'!T52*Summary!$B$3</f>
        <v>-537.67707379961394</v>
      </c>
      <c r="H34">
        <f>'Parameter Extraction'!U52*Summary!$B$3</f>
        <v>-537.67707379961394</v>
      </c>
    </row>
    <row r="35" spans="1:8" x14ac:dyDescent="0.2">
      <c r="A35">
        <f>'Parameter Extraction'!N53*Summary!$B$3</f>
        <v>11660.139318062193</v>
      </c>
      <c r="B35">
        <f>'Parameter Extraction'!O53*Summary!$B$3</f>
        <v>11660.139318062193</v>
      </c>
      <c r="D35">
        <f>'Parameter Extraction'!Q53*Summary!$B$3</f>
        <v>6082.1401263529651</v>
      </c>
      <c r="E35">
        <f>'Parameter Extraction'!R53*Summary!$B$3</f>
        <v>6082.1401263529651</v>
      </c>
      <c r="G35">
        <f>'Parameter Extraction'!T53*Summary!$B$3</f>
        <v>2677.4720544059619</v>
      </c>
      <c r="H35">
        <f>'Parameter Extraction'!U53*Summary!$B$3</f>
        <v>2677.4720544059619</v>
      </c>
    </row>
    <row r="36" spans="1:8" x14ac:dyDescent="0.2">
      <c r="A36">
        <f>'Parameter Extraction'!N54*Summary!$B$3</f>
        <v>11242.73909978856</v>
      </c>
      <c r="B36">
        <f>'Parameter Extraction'!O54*Summary!$B$3</f>
        <v>11242.73909978856</v>
      </c>
      <c r="D36">
        <f>'Parameter Extraction'!Q54*Summary!$B$3</f>
        <v>6292.1620209269804</v>
      </c>
      <c r="E36">
        <f>'Parameter Extraction'!R54*Summary!$B$3</f>
        <v>6292.1620209269804</v>
      </c>
      <c r="G36">
        <f>'Parameter Extraction'!T54*Summary!$B$3</f>
        <v>3789.0722299122217</v>
      </c>
      <c r="H36">
        <f>'Parameter Extraction'!U54*Summary!$B$3</f>
        <v>3789.0722299122217</v>
      </c>
    </row>
    <row r="37" spans="1:8" x14ac:dyDescent="0.2">
      <c r="A37">
        <f>'Parameter Extraction'!N55*Summary!$B$3</f>
        <v>11547.622659958506</v>
      </c>
      <c r="B37">
        <f>'Parameter Extraction'!O55*Summary!$B$3</f>
        <v>11547.622659958506</v>
      </c>
      <c r="D37">
        <f>'Parameter Extraction'!Q55*Summary!$B$3</f>
        <v>6405.1313013590516</v>
      </c>
      <c r="E37">
        <f>'Parameter Extraction'!R55*Summary!$B$3</f>
        <v>6405.1313013590516</v>
      </c>
      <c r="G37">
        <f>'Parameter Extraction'!T55*Summary!$B$3</f>
        <v>3916.8339058292759</v>
      </c>
      <c r="H37">
        <f>'Parameter Extraction'!U55*Summary!$B$3</f>
        <v>3916.8339058292759</v>
      </c>
    </row>
    <row r="38" spans="1:8" x14ac:dyDescent="0.2">
      <c r="A38">
        <f>'Parameter Extraction'!N56*Summary!$B$3</f>
        <v>0</v>
      </c>
      <c r="B38">
        <f>'Parameter Extraction'!O56*Summary!$B$3</f>
        <v>0</v>
      </c>
      <c r="D38">
        <f>'Parameter Extraction'!Q56*Summary!$B$3</f>
        <v>-1031.7470874811761</v>
      </c>
      <c r="E38">
        <f>'Parameter Extraction'!R56*Summary!$B$3</f>
        <v>-1031.7470874811761</v>
      </c>
      <c r="G38">
        <f>'Parameter Extraction'!T56*Summary!$B$3</f>
        <v>-873.4527187657352</v>
      </c>
      <c r="H38">
        <f>'Parameter Extraction'!U56*Summary!$B$3</f>
        <v>-873.4527187657352</v>
      </c>
    </row>
    <row r="39" spans="1:8" x14ac:dyDescent="0.2">
      <c r="A39">
        <f>'Parameter Extraction'!N57*Summary!$B$3</f>
        <v>11660.139318062193</v>
      </c>
      <c r="B39">
        <f>'Parameter Extraction'!O57*Summary!$B$3</f>
        <v>11660.139318062193</v>
      </c>
      <c r="D39">
        <f>'Parameter Extraction'!Q57*Summary!$B$3</f>
        <v>6741.6791245602853</v>
      </c>
      <c r="E39">
        <f>'Parameter Extraction'!R57*Summary!$B$3</f>
        <v>6741.6791245602853</v>
      </c>
      <c r="G39">
        <f>'Parameter Extraction'!T57*Summary!$B$3</f>
        <v>3013.2603872549953</v>
      </c>
      <c r="H39">
        <f>'Parameter Extraction'!U57*Summary!$B$3</f>
        <v>3013.2603872549953</v>
      </c>
    </row>
    <row r="40" spans="1:8" x14ac:dyDescent="0.2">
      <c r="A40">
        <f>'Parameter Extraction'!N58*Summary!$B$3</f>
        <v>0</v>
      </c>
      <c r="B40">
        <f>'Parameter Extraction'!O58*Summary!$B$3</f>
        <v>0</v>
      </c>
      <c r="D40">
        <f>'Parameter Extraction'!Q58*Summary!$B$3</f>
        <v>-1031.7471047594229</v>
      </c>
      <c r="E40">
        <f>'Parameter Extraction'!R58*Summary!$B$3</f>
        <v>-1031.7471047594229</v>
      </c>
      <c r="G40">
        <f>'Parameter Extraction'!T58*Summary!$B$3</f>
        <v>-1006.5130777424447</v>
      </c>
      <c r="H40">
        <f>'Parameter Extraction'!U58*Summary!$B$3</f>
        <v>-1006.5130777424447</v>
      </c>
    </row>
    <row r="41" spans="1:8" x14ac:dyDescent="0.2">
      <c r="A41">
        <f>'Parameter Extraction'!N59*Summary!$B$3</f>
        <v>11660.139318062194</v>
      </c>
      <c r="B41">
        <f>'Parameter Extraction'!O59*Summary!$B$3</f>
        <v>11660.139318062194</v>
      </c>
      <c r="D41">
        <f>'Parameter Extraction'!Q59*Summary!$B$3</f>
        <v>6082.1365321795656</v>
      </c>
      <c r="E41">
        <f>'Parameter Extraction'!R59*Summary!$B$3</f>
        <v>6082.1365321795656</v>
      </c>
      <c r="G41">
        <f>'Parameter Extraction'!T59*Summary!$B$3</f>
        <v>2425.8342839699708</v>
      </c>
      <c r="H41">
        <f>'Parameter Extraction'!U59*Summary!$B$3</f>
        <v>2425.8342839699708</v>
      </c>
    </row>
    <row r="45" spans="1:8" x14ac:dyDescent="0.2">
      <c r="A45">
        <f>'Parameter Extraction'!N63*Summary!$B$3</f>
        <v>0</v>
      </c>
      <c r="B45">
        <f>'Parameter Extraction'!O63*Summary!$B$3</f>
        <v>0</v>
      </c>
      <c r="D45">
        <f>'Parameter Extraction'!Q63*Summary!$B$3</f>
        <v>-1768.0909885707479</v>
      </c>
      <c r="E45">
        <f>'Parameter Extraction'!R63*Summary!$B$3</f>
        <v>-1768.0909885707479</v>
      </c>
    </row>
    <row r="46" spans="1:8" x14ac:dyDescent="0.2">
      <c r="A46">
        <f>'Parameter Extraction'!N64*Summary!$B$3</f>
        <v>14962.220395500754</v>
      </c>
      <c r="B46">
        <f>'Parameter Extraction'!O64*Summary!$B$3</f>
        <v>14962.220395500754</v>
      </c>
      <c r="D46">
        <f>'Parameter Extraction'!Q64*Summary!$B$3</f>
        <v>7195.1582606435295</v>
      </c>
      <c r="E46">
        <f>'Parameter Extraction'!R64*Summary!$B$3</f>
        <v>7195.1582606435295</v>
      </c>
    </row>
    <row r="47" spans="1:8" x14ac:dyDescent="0.2">
      <c r="A47">
        <f>'Parameter Extraction'!N65*Summary!$B$3</f>
        <v>13492.773961264062</v>
      </c>
      <c r="B47">
        <f>'Parameter Extraction'!O65*Summary!$B$3</f>
        <v>13492.773961264062</v>
      </c>
      <c r="D47">
        <f>'Parameter Extraction'!Q65*Summary!$B$3</f>
        <v>6027.6980104701124</v>
      </c>
      <c r="E47">
        <f>'Parameter Extraction'!R65*Summary!$B$3</f>
        <v>6027.6980104701124</v>
      </c>
    </row>
    <row r="48" spans="1:8" x14ac:dyDescent="0.2">
      <c r="A48">
        <f>'Parameter Extraction'!N66*Summary!$B$3</f>
        <v>13745.501603044113</v>
      </c>
      <c r="B48">
        <f>'Parameter Extraction'!O66*Summary!$B$3</f>
        <v>13745.501603044113</v>
      </c>
      <c r="D48">
        <f>'Parameter Extraction'!Q66*Summary!$B$3</f>
        <v>6174.2968393868068</v>
      </c>
      <c r="E48">
        <f>'Parameter Extraction'!R66*Summary!$B$3</f>
        <v>6174.2968393868068</v>
      </c>
    </row>
    <row r="49" spans="1:8" x14ac:dyDescent="0.2">
      <c r="A49">
        <f>'Parameter Extraction'!N67*Summary!$B$3</f>
        <v>0</v>
      </c>
      <c r="B49">
        <f>'Parameter Extraction'!O67*Summary!$B$3</f>
        <v>0</v>
      </c>
      <c r="D49">
        <f>'Parameter Extraction'!Q67*Summary!$B$3</f>
        <v>-1768.0909885707479</v>
      </c>
      <c r="E49">
        <f>'Parameter Extraction'!R67*Summary!$B$3</f>
        <v>-1768.0909885707479</v>
      </c>
      <c r="G49">
        <f>'Parameter Extraction'!T67*Summary!$B$3</f>
        <v>-1831.464222013147</v>
      </c>
      <c r="H49">
        <f>'Parameter Extraction'!U67*Summary!$B$3</f>
        <v>-1831.464222013147</v>
      </c>
    </row>
    <row r="50" spans="1:8" x14ac:dyDescent="0.2">
      <c r="A50">
        <f>'Parameter Extraction'!N68*Summary!$B$3</f>
        <v>14962.220395500754</v>
      </c>
      <c r="B50">
        <f>'Parameter Extraction'!O68*Summary!$B$3</f>
        <v>14962.220395500754</v>
      </c>
      <c r="D50">
        <f>'Parameter Extraction'!Q68*Summary!$B$3</f>
        <v>8206.7226084297545</v>
      </c>
      <c r="E50">
        <f>'Parameter Extraction'!R68*Summary!$B$3</f>
        <v>8206.7226084297545</v>
      </c>
      <c r="G50">
        <f>'Parameter Extraction'!T68*Summary!$B$3</f>
        <v>3155.9425764871048</v>
      </c>
      <c r="H50">
        <f>'Parameter Extraction'!U68*Summary!$B$3</f>
        <v>3155.9425764871048</v>
      </c>
    </row>
    <row r="51" spans="1:8" x14ac:dyDescent="0.2">
      <c r="A51">
        <f>'Parameter Extraction'!N69*Summary!$B$3</f>
        <v>0</v>
      </c>
      <c r="B51">
        <f>'Parameter Extraction'!O69*Summary!$B$3</f>
        <v>0</v>
      </c>
      <c r="D51">
        <f>'Parameter Extraction'!Q69*Summary!$B$3</f>
        <v>-1768.0945715255991</v>
      </c>
      <c r="E51">
        <f>'Parameter Extraction'!R69*Summary!$B$3</f>
        <v>-1768.0945715255991</v>
      </c>
      <c r="G51">
        <f>'Parameter Extraction'!T69*Summary!$B$3</f>
        <v>-2024.2472903838946</v>
      </c>
      <c r="H51">
        <f>'Parameter Extraction'!U69*Summary!$B$3</f>
        <v>-2024.2472903838946</v>
      </c>
    </row>
    <row r="52" spans="1:8" x14ac:dyDescent="0.2">
      <c r="A52">
        <f>'Parameter Extraction'!N70*Summary!$B$3</f>
        <v>14962.220395500754</v>
      </c>
      <c r="B52">
        <f>'Parameter Extraction'!O70*Summary!$B$3</f>
        <v>14962.220395500754</v>
      </c>
      <c r="D52">
        <f>'Parameter Extraction'!Q70*Summary!$B$3</f>
        <v>7195.1582389587702</v>
      </c>
      <c r="E52">
        <f>'Parameter Extraction'!R70*Summary!$B$3</f>
        <v>7195.1582389587702</v>
      </c>
      <c r="G52">
        <f>'Parameter Extraction'!T70*Summary!$B$3</f>
        <v>2282.4361641171195</v>
      </c>
      <c r="H52">
        <f>'Parameter Extraction'!U70*Summary!$B$3</f>
        <v>2282.4361641171195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Parameter Extraction</vt:lpstr>
      <vt:lpstr>Summary</vt:lpstr>
      <vt:lpstr>Parameter Extraction (Guihery)</vt:lpstr>
      <vt:lpstr>Reconstruction (csv)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2018-07-26T15:28:02Z</dcterms:created>
  <dcterms:modified xsi:type="dcterms:W3CDTF">2018-12-07T21:03:56Z</dcterms:modified>
</cp:coreProperties>
</file>